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polak\Desktop\"/>
    </mc:Choice>
  </mc:AlternateContent>
  <bookViews>
    <workbookView xWindow="-120" yWindow="-120" windowWidth="29040" windowHeight="15720"/>
  </bookViews>
  <sheets>
    <sheet name="KR" sheetId="1" r:id="rId1"/>
    <sheet name="zdroj" sheetId="2" r:id="rId2"/>
    <sheet name="výstup" sheetId="3" r:id="rId3"/>
  </sheets>
  <definedNames>
    <definedName name="_ftn1" localSheetId="1">zdroj!$M$40</definedName>
    <definedName name="_ftn2" localSheetId="1">zdroj!$D$60</definedName>
    <definedName name="_ftnref1" localSheetId="1">zdroj!$M$37</definedName>
    <definedName name="_Hlk72786702" localSheetId="1">zdroj!$D$33</definedName>
    <definedName name="_Toc70076319" localSheetId="1">zdroj!$M$3</definedName>
    <definedName name="_Toc70076332" localSheetId="1">zdroj!$D$35</definedName>
    <definedName name="_Toc88238339" localSheetId="1">zdroj!$D$2</definedName>
    <definedName name="_Toc99112534" localSheetId="1">zdroj!$M$12</definedName>
    <definedName name="_Toc99112553" localSheetId="1">zdroj!$M$29</definedName>
    <definedName name="_xlnm.Print_Area" localSheetId="0">KR!$A$1:$J$38</definedName>
    <definedName name="Opatreni">zdroj!$M$36:$M$47,zdroj!$M$25:$M$35,zdroj!$M$20:$M$24,zdroj!$M$10:$M$12,zdroj!$M$2:$M$9</definedName>
    <definedName name="Opatreni_2">#REF!,#REF!,#REF!,#REF!,#REF!</definedName>
    <definedName name="porno">#REF!,#REF!,#REF!,#REF!,#REF!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D20" i="2" l="1"/>
  <c r="M70" i="2"/>
  <c r="L70" i="2"/>
  <c r="K70" i="2"/>
  <c r="J70" i="2"/>
  <c r="I70" i="2"/>
  <c r="H70" i="2"/>
  <c r="G70" i="2"/>
  <c r="F70" i="2"/>
  <c r="E70" i="2"/>
  <c r="D70" i="2"/>
  <c r="B23" i="2"/>
  <c r="F80" i="2" l="1"/>
  <c r="D82" i="2"/>
  <c r="E82" i="2"/>
  <c r="E81" i="2"/>
  <c r="D81" i="2"/>
  <c r="F82" i="2"/>
  <c r="F81" i="2"/>
  <c r="D80" i="2"/>
  <c r="D73" i="2"/>
  <c r="E83" i="2"/>
  <c r="F83" i="2"/>
  <c r="E80" i="2"/>
  <c r="D83" i="2"/>
  <c r="G73" i="2"/>
  <c r="D75" i="2"/>
  <c r="G75" i="2"/>
  <c r="D77" i="2"/>
  <c r="D25" i="2"/>
  <c r="D26" i="2"/>
  <c r="M48" i="2"/>
  <c r="G77" i="2"/>
  <c r="D27" i="2"/>
  <c r="E73" i="2"/>
  <c r="E75" i="2"/>
  <c r="E77" i="2"/>
  <c r="M47" i="2"/>
  <c r="F73" i="2"/>
  <c r="F75" i="2"/>
  <c r="F77" i="2"/>
  <c r="M49" i="2"/>
  <c r="D74" i="2"/>
  <c r="D76" i="2"/>
  <c r="D23" i="2"/>
  <c r="M50" i="2"/>
  <c r="E74" i="2"/>
  <c r="E76" i="2"/>
  <c r="D24" i="2"/>
  <c r="F74" i="2"/>
  <c r="F76" i="2"/>
  <c r="G74" i="2"/>
  <c r="G76" i="2"/>
  <c r="D28" i="1" l="1"/>
  <c r="O2" i="2"/>
  <c r="A1" i="2" l="1"/>
  <c r="D22" i="1" l="1"/>
  <c r="A2" i="2"/>
  <c r="F28" i="1" l="1"/>
  <c r="D5" i="3" l="1"/>
  <c r="D8" i="3"/>
  <c r="D7" i="3"/>
  <c r="D6" i="3"/>
  <c r="P72" i="2"/>
  <c r="Q72" i="2" s="1"/>
  <c r="P73" i="2"/>
  <c r="Q73" i="2" s="1"/>
  <c r="P71" i="2"/>
  <c r="Q71" i="2" s="1"/>
  <c r="P68" i="2"/>
  <c r="Q68" i="2" s="1"/>
  <c r="P66" i="2"/>
  <c r="Q66" i="2" s="1"/>
  <c r="P67" i="2"/>
  <c r="Q67" i="2" s="1"/>
  <c r="P65" i="2"/>
  <c r="Q65" i="2" s="1"/>
  <c r="P62" i="2"/>
  <c r="Q62" i="2" s="1"/>
  <c r="P60" i="2"/>
  <c r="Q60" i="2" s="1"/>
  <c r="P61" i="2"/>
  <c r="Q61" i="2" s="1"/>
  <c r="P59" i="2"/>
  <c r="Q59" i="2" s="1"/>
  <c r="Q74" i="2" l="1"/>
  <c r="H11" i="1" s="1"/>
  <c r="Q69" i="2"/>
  <c r="Q63" i="2"/>
  <c r="H21" i="1"/>
  <c r="H20" i="1"/>
  <c r="H19" i="1"/>
  <c r="H18" i="1"/>
  <c r="D31" i="3"/>
  <c r="D30" i="3"/>
  <c r="D29" i="3"/>
  <c r="D26" i="3"/>
  <c r="D27" i="3"/>
  <c r="D25" i="3"/>
  <c r="D24" i="3"/>
  <c r="D15" i="3"/>
  <c r="D16" i="3"/>
  <c r="D17" i="3"/>
  <c r="D18" i="3"/>
  <c r="D19" i="3"/>
  <c r="D20" i="3"/>
  <c r="D21" i="3"/>
  <c r="D22" i="3"/>
  <c r="D14" i="3"/>
  <c r="D13" i="3"/>
  <c r="D4" i="3"/>
  <c r="D3" i="3"/>
  <c r="A57" i="2" l="1"/>
  <c r="A58" i="2"/>
  <c r="A56" i="2"/>
  <c r="M69" i="2"/>
  <c r="M68" i="2"/>
  <c r="M67" i="2"/>
  <c r="M66" i="2"/>
  <c r="M65" i="2"/>
  <c r="M64" i="2"/>
  <c r="M63" i="2"/>
  <c r="M62" i="2"/>
  <c r="M61" i="2"/>
  <c r="M60" i="2"/>
  <c r="L69" i="2"/>
  <c r="L68" i="2"/>
  <c r="L67" i="2"/>
  <c r="L66" i="2"/>
  <c r="L65" i="2"/>
  <c r="L64" i="2"/>
  <c r="L63" i="2"/>
  <c r="L62" i="2"/>
  <c r="L61" i="2"/>
  <c r="L60" i="2"/>
  <c r="K69" i="2"/>
  <c r="K68" i="2"/>
  <c r="K67" i="2"/>
  <c r="K66" i="2"/>
  <c r="K65" i="2"/>
  <c r="K64" i="2"/>
  <c r="K63" i="2"/>
  <c r="K62" i="2"/>
  <c r="K61" i="2"/>
  <c r="K60" i="2"/>
  <c r="J69" i="2"/>
  <c r="J68" i="2"/>
  <c r="J67" i="2"/>
  <c r="J66" i="2"/>
  <c r="J65" i="2"/>
  <c r="J64" i="2"/>
  <c r="J63" i="2"/>
  <c r="J62" i="2"/>
  <c r="J61" i="2"/>
  <c r="J60" i="2"/>
  <c r="I69" i="2"/>
  <c r="I68" i="2"/>
  <c r="I67" i="2"/>
  <c r="I66" i="2"/>
  <c r="I65" i="2"/>
  <c r="I64" i="2"/>
  <c r="I63" i="2"/>
  <c r="I62" i="2"/>
  <c r="I61" i="2"/>
  <c r="I60" i="2"/>
  <c r="H69" i="2"/>
  <c r="H68" i="2"/>
  <c r="H67" i="2"/>
  <c r="H66" i="2"/>
  <c r="H65" i="2"/>
  <c r="H64" i="2"/>
  <c r="H63" i="2"/>
  <c r="H62" i="2"/>
  <c r="H61" i="2"/>
  <c r="H60" i="2"/>
  <c r="G69" i="2"/>
  <c r="G68" i="2"/>
  <c r="G67" i="2"/>
  <c r="G66" i="2"/>
  <c r="G65" i="2"/>
  <c r="G64" i="2"/>
  <c r="G63" i="2"/>
  <c r="G62" i="2"/>
  <c r="G61" i="2"/>
  <c r="G60" i="2"/>
  <c r="F69" i="2"/>
  <c r="F68" i="2"/>
  <c r="F67" i="2"/>
  <c r="F66" i="2"/>
  <c r="F65" i="2"/>
  <c r="F64" i="2"/>
  <c r="F63" i="2"/>
  <c r="F62" i="2"/>
  <c r="F61" i="2"/>
  <c r="F60" i="2"/>
  <c r="E69" i="2"/>
  <c r="E68" i="2"/>
  <c r="E67" i="2"/>
  <c r="E66" i="2"/>
  <c r="E65" i="2"/>
  <c r="E64" i="2"/>
  <c r="E63" i="2"/>
  <c r="E62" i="2"/>
  <c r="E61" i="2"/>
  <c r="E60" i="2"/>
  <c r="D69" i="2"/>
  <c r="D68" i="2"/>
  <c r="D67" i="2"/>
  <c r="D66" i="2"/>
  <c r="D65" i="2"/>
  <c r="D64" i="2"/>
  <c r="D63" i="2"/>
  <c r="D62" i="2"/>
  <c r="D61" i="2"/>
  <c r="D60" i="2"/>
  <c r="E36" i="1" l="1"/>
  <c r="D19" i="2" l="1"/>
  <c r="D18" i="2"/>
  <c r="D17" i="2"/>
  <c r="D16" i="2"/>
  <c r="D15" i="2"/>
  <c r="D14" i="2"/>
  <c r="D13" i="2"/>
  <c r="D10" i="2"/>
  <c r="D11" i="2"/>
  <c r="D12" i="2"/>
  <c r="D12" i="3" l="1"/>
  <c r="C71" i="1"/>
  <c r="F18" i="1"/>
  <c r="D23" i="3" l="1"/>
  <c r="D28" i="3"/>
  <c r="H74" i="1"/>
  <c r="H72" i="1"/>
  <c r="H73" i="1"/>
  <c r="R43" i="2"/>
  <c r="F21" i="1" l="1"/>
  <c r="F20" i="1"/>
  <c r="F19" i="1"/>
  <c r="I18" i="1"/>
  <c r="F22" i="1" l="1"/>
  <c r="I21" i="1"/>
  <c r="I20" i="1"/>
  <c r="I19" i="1"/>
  <c r="H22" i="1"/>
  <c r="L1" i="2"/>
  <c r="I22" i="1" l="1"/>
  <c r="I23" i="1"/>
  <c r="P33" i="2" s="1"/>
  <c r="P30" i="2" l="1"/>
  <c r="P32" i="2" s="1"/>
  <c r="J26" i="1" s="1"/>
  <c r="P41" i="2" l="1"/>
  <c r="I24" i="1"/>
  <c r="F27" i="1"/>
  <c r="R41" i="2" l="1"/>
  <c r="F41" i="1"/>
  <c r="D32" i="3" s="1"/>
  <c r="I25" i="1"/>
  <c r="D35" i="3" s="1"/>
  <c r="P40" i="2"/>
  <c r="H27" i="1" s="1"/>
  <c r="H28" i="1" l="1"/>
  <c r="I27" i="1"/>
  <c r="I28" i="1" s="1"/>
  <c r="D29" i="1"/>
  <c r="B29" i="1" s="1"/>
  <c r="R40" i="2"/>
  <c r="S41" i="2" s="1"/>
  <c r="T41" i="2" s="1"/>
  <c r="S45" i="2"/>
  <c r="S43" i="2"/>
  <c r="D9" i="3" l="1"/>
  <c r="F43" i="1"/>
  <c r="D30" i="1" l="1"/>
  <c r="F42" i="1" s="1"/>
  <c r="D33" i="3" s="1"/>
  <c r="D36" i="3"/>
  <c r="D10" i="3" l="1"/>
  <c r="D31" i="1"/>
  <c r="D34" i="3" s="1"/>
  <c r="D11" i="3" l="1"/>
</calcChain>
</file>

<file path=xl/comments1.xml><?xml version="1.0" encoding="utf-8"?>
<comments xmlns="http://schemas.openxmlformats.org/spreadsheetml/2006/main">
  <authors>
    <author>Filipová Nela</author>
    <author>Pecha Martin</author>
    <author>Bajer Pavel</author>
  </authors>
  <commentList>
    <comment ref="H9" authorId="0" shapeId="0">
      <text>
        <r>
          <rPr>
            <sz val="9"/>
            <color indexed="10"/>
            <rFont val="Calibri"/>
            <family val="2"/>
            <charset val="238"/>
            <scheme val="minor"/>
          </rPr>
          <t xml:space="preserve">Kumulativní rozpočet vychází z rozpočtu k projektu. Doporučené členení rozpočtu pro specifický cíl 1.1.2. je uvedeno v kapitole 5. Studie stavebně technologického řešení. </t>
        </r>
        <r>
          <rPr>
            <sz val="9"/>
            <color indexed="8"/>
            <rFont val="Calibri"/>
            <family val="2"/>
            <charset val="238"/>
            <scheme val="minor"/>
          </rPr>
          <t>V případě GBER 38 není možné hradit plynové spotřebiče a je nutno odečíst alternativní investice viz pokyny k veřejné podpoře.</t>
        </r>
        <r>
          <rPr>
            <sz val="9"/>
            <color indexed="81"/>
            <rFont val="Calibri"/>
            <family val="2"/>
            <charset val="238"/>
            <scheme val="minor"/>
          </rPr>
          <t xml:space="preserve">
</t>
        </r>
      </text>
    </comment>
    <comment ref="B10" authorId="1" shapeId="0">
      <text>
        <r>
          <rPr>
            <sz val="9"/>
            <color indexed="81"/>
            <rFont val="Calibri"/>
            <family val="2"/>
            <charset val="238"/>
            <scheme val="minor"/>
          </rPr>
          <t>platí pouze pro Opatření 1.3.1; 1.6.1 a 1.6.2</t>
        </r>
        <r>
          <rPr>
            <sz val="9"/>
            <color indexed="81"/>
            <rFont val="Tahoma"/>
            <family val="2"/>
            <charset val="238"/>
          </rPr>
          <t xml:space="preserve">
</t>
        </r>
      </text>
    </comment>
    <comment ref="B11" authorId="1" shapeId="0">
      <text>
        <r>
          <rPr>
            <sz val="9"/>
            <color indexed="81"/>
            <rFont val="Calibri"/>
            <family val="2"/>
            <charset val="238"/>
            <scheme val="minor"/>
          </rPr>
          <t>platí pouze pro Aktivitu 1.3.1.1, 1.3.1.2 a 1.6.1.1</t>
        </r>
        <r>
          <rPr>
            <sz val="9"/>
            <color indexed="81"/>
            <rFont val="Tahoma"/>
            <family val="2"/>
            <charset val="238"/>
          </rPr>
          <t xml:space="preserve">
</t>
        </r>
      </text>
    </comment>
    <comment ref="B14" authorId="1" shapeId="0">
      <text>
        <r>
          <rPr>
            <sz val="9"/>
            <color indexed="81"/>
            <rFont val="Calibri"/>
            <family val="2"/>
            <charset val="238"/>
            <scheme val="minor"/>
          </rPr>
          <t>relevantní pouze v případě Veřejné podpory</t>
        </r>
      </text>
    </comment>
    <comment ref="G17" authorId="2" shapeId="0">
      <text>
        <r>
          <rPr>
            <sz val="9"/>
            <color indexed="81"/>
            <rFont val="Calibri"/>
            <family val="2"/>
            <charset val="238"/>
            <scheme val="minor"/>
          </rPr>
          <t>Vyplnit pouze náklady, které nebudou nárokovány jako věcně způsobilé bez zohlednění maximálních způsobilých nákladů podle rozsahu opatření a bez zohlednění maximálního procenta na paušální sazbu.</t>
        </r>
      </text>
    </comment>
    <comment ref="H17" authorId="2" shapeId="0">
      <text>
        <r>
          <rPr>
            <sz val="9"/>
            <color indexed="81"/>
            <rFont val="Calibri"/>
            <family val="2"/>
            <charset val="238"/>
            <scheme val="minor"/>
          </rPr>
          <t>Zohlední plátcovství DPH, max. částky na jednotlivé položky a žadatelem stanovené věcně nezpůsobilé náklady.</t>
        </r>
      </text>
    </comment>
    <comment ref="I26" authorId="1" shapeId="0">
      <text>
        <r>
          <rPr>
            <b/>
            <sz val="10"/>
            <color indexed="81"/>
            <rFont val="Tahoma"/>
            <family val="2"/>
            <charset val="238"/>
          </rPr>
          <t xml:space="preserve">% HODNOTY PAUŠÁLNÍHO FINANCOVÁNÍ NEPŘÍMÝCH NÁKLADŮ u SC 1.3 a 1.6
</t>
        </r>
        <r>
          <rPr>
            <sz val="10"/>
            <color indexed="81"/>
            <rFont val="Tahoma"/>
            <family val="2"/>
            <charset val="238"/>
          </rPr>
          <t>7% u projektů, jejichž celkové způsobilé přímé realizační výdaje nepřesahují 10 mil. Kč,
5% u projektů, jejichž celkové způsobilé přímé realizační výdaje jsou vyšší než 10 mil. Kč.</t>
        </r>
        <r>
          <rPr>
            <b/>
            <sz val="10"/>
            <color indexed="81"/>
            <rFont val="Tahoma"/>
            <family val="2"/>
            <charset val="238"/>
          </rPr>
          <t xml:space="preserve">
% HODNOTY PAUŠÁLNÍHO FINANCOVÁNÍ NEPŘÍMÝCH NÁKLADŮ u ostatních SC</t>
        </r>
        <r>
          <rPr>
            <sz val="10"/>
            <color indexed="81"/>
            <rFont val="Tahoma"/>
            <family val="2"/>
            <charset val="238"/>
          </rPr>
          <t xml:space="preserve">
7% u projektů, jejichž celkové způsobilé přímé realizační výdaje nepřesahují 3 mil. Kč,
5% u projektů, jejichž celkové způsobilé přímé realizační výdaje nepřesahují 10 mil. Kč,
3,5% u projektů, jejichž celkové způsobilé přímé realizační výdaje jsou vyšší než 10 mil. Kč.
</t>
        </r>
        <r>
          <rPr>
            <b/>
            <sz val="10"/>
            <color indexed="81"/>
            <rFont val="Tahoma"/>
            <family val="2"/>
            <charset val="238"/>
          </rPr>
          <t>MAXIMÁLNÍ PAUŠÁLNÍ SAZBA JE 15 000 000,- Kč u všech SC</t>
        </r>
      </text>
    </comment>
    <comment ref="D29" authorId="1" shapeId="0">
      <text>
        <r>
          <rPr>
            <sz val="9"/>
            <color indexed="81"/>
            <rFont val="Tahoma"/>
            <family val="2"/>
            <charset val="238"/>
          </rPr>
          <t xml:space="preserve">do CNP se počítá též DPH z paušální sazby dle plátcovství DPH u žadatele
</t>
        </r>
      </text>
    </comment>
  </commentList>
</comments>
</file>

<file path=xl/comments2.xml><?xml version="1.0" encoding="utf-8"?>
<comments xmlns="http://schemas.openxmlformats.org/spreadsheetml/2006/main">
  <authors>
    <author>Pecha Martin</author>
  </authors>
  <commentList>
    <comment ref="I16" authorId="0" shapeId="0">
      <text>
        <r>
          <rPr>
            <b/>
            <sz val="9"/>
            <color indexed="81"/>
            <rFont val="Tahoma"/>
            <family val="2"/>
            <charset val="238"/>
          </rPr>
          <t>Pecha Martin:</t>
        </r>
        <r>
          <rPr>
            <sz val="9"/>
            <color indexed="81"/>
            <rFont val="Tahoma"/>
            <family val="2"/>
            <charset val="238"/>
          </rPr>
          <t xml:space="preserve">
k 28.7.2022</t>
        </r>
      </text>
    </comment>
  </commentList>
</comments>
</file>

<file path=xl/sharedStrings.xml><?xml version="1.0" encoding="utf-8"?>
<sst xmlns="http://schemas.openxmlformats.org/spreadsheetml/2006/main" count="307" uniqueCount="267">
  <si>
    <t>Kumulativní rozpočet projektu</t>
  </si>
  <si>
    <t>Název žadatele:</t>
  </si>
  <si>
    <t>Název projektu:</t>
  </si>
  <si>
    <t>1.1.1 Snížení energetické náročnosti veřejných budov a veřejné infrastruktury</t>
  </si>
  <si>
    <t>Opatření specifického cíle:</t>
  </si>
  <si>
    <t>1.1.2 Snížení energetické náročnosti/zvýšení účinnosti technologických procesů</t>
  </si>
  <si>
    <t>1.1.4 Zvýšení adaptability veřejných budov na změnu klimatu</t>
  </si>
  <si>
    <t>1.1.5 Výstavba nových veřejných budov, které budou splňovat parametry pro pasivní nebo plusové budovy</t>
  </si>
  <si>
    <t>1.2.1 Výstavba a rekonstrukce obnovitelných zdrojů energie pro veřejné budovy</t>
  </si>
  <si>
    <t>1.2.3 Výměna nevyhovujících spalovacích zdrojů na tuhá paliva a pořizování domovních předávacích stanic</t>
  </si>
  <si>
    <t>1.2.2 Výstavba a rekonstrukce obnovitelných zdrojů energie pro zajištění dodávek systémové energie ve veřejném sektoru</t>
  </si>
  <si>
    <t>Aktivita (je-li relevantní):</t>
  </si>
  <si>
    <t>1.4.2 Intenzifikace čistíren odpadních vod za účelem zvýšeného odstraňování specifického znečištění</t>
  </si>
  <si>
    <t>1.4.3 Opatření omezující vypouštění odpadních vod z odlehčení na kanalizaci (akumulační nádrže, retenční nádrže, chemické předčištění apod.)</t>
  </si>
  <si>
    <t>1.4.4 Výstavba a modernizace vodovodních přivaděčů a vodovodních řadů; výstavba úpraven vody; výstavba, intenzifikace nebo revitalizace stávajících vodních zdrojů</t>
  </si>
  <si>
    <t>1.4.5 Intenzifikace úpraven pitné vody</t>
  </si>
  <si>
    <t>1.5.1 Kompostéry pro předcházení vzniku komunálních odpadů</t>
  </si>
  <si>
    <t>1.5.2 RE-USE centra pro opětovné použití výrobků včetně aktivit pro opravy a prodlužování životnosti výrobků, podpora prevence vzniku odpadu</t>
  </si>
  <si>
    <t>1.5.3 Budování infrastruktury potravinových bank</t>
  </si>
  <si>
    <t>1.5.4 Podpora prevence vzniku odpadů z jednorázového nádobí nebo jednorázových obalů</t>
  </si>
  <si>
    <t>1.5.6 Podpora třídících a dotřiďovacích systémů (včetně úpravy) pro separaci ostatních odpadů</t>
  </si>
  <si>
    <t>1.5.7 Budování zařízení pro úpravu a zpracování čistírenských odpadních kalů z čistíren odpadních vod včetně úpravy vyčištěných odpadních vod pro jejich opětovné využívání</t>
  </si>
  <si>
    <t>1.5.8 Výstavba a modernizace zařízení pro materiálové využití odpadů</t>
  </si>
  <si>
    <t>1.5.9 Výstavba a modernizace zařízení pro energetické využití odpadů, včetně bioplynových stanic pro zpracování odpadů</t>
  </si>
  <si>
    <t>1.5.10 Budování a modernizace zařízení pro chemickou recyklaci odpadů</t>
  </si>
  <si>
    <t>1.5.11 Budování a modernizace zařízení pro sběr a nakládání s nebezpečnými odpady</t>
  </si>
  <si>
    <t>1.5.5 Výstavba a modernizace sběrných dvorů, doplnění a zefektivnění systému odděleného sběru/svozu zejména komunálních odpadů včetně podpory door-to-door systémů a zavádění systémů PAYT ("Pay-as-You-Throw")</t>
  </si>
  <si>
    <t>vyber Aktivitu</t>
  </si>
  <si>
    <t>1_1</t>
  </si>
  <si>
    <t>2_1</t>
  </si>
  <si>
    <t>2_2</t>
  </si>
  <si>
    <t>2_3</t>
  </si>
  <si>
    <t>3_1</t>
  </si>
  <si>
    <t>3_2</t>
  </si>
  <si>
    <t>3_3</t>
  </si>
  <si>
    <t>4_1</t>
  </si>
  <si>
    <t>4_2</t>
  </si>
  <si>
    <t>4_3</t>
  </si>
  <si>
    <t>5_1</t>
  </si>
  <si>
    <t>5_2</t>
  </si>
  <si>
    <t>5_3</t>
  </si>
  <si>
    <t>5_4</t>
  </si>
  <si>
    <t>5_5</t>
  </si>
  <si>
    <t>6_1</t>
  </si>
  <si>
    <t>6_2</t>
  </si>
  <si>
    <t>6_3</t>
  </si>
  <si>
    <t>6_4</t>
  </si>
  <si>
    <t>6_5</t>
  </si>
  <si>
    <t>6_6</t>
  </si>
  <si>
    <t>6_7</t>
  </si>
  <si>
    <t>6_8</t>
  </si>
  <si>
    <t>6_9</t>
  </si>
  <si>
    <t>6_10</t>
  </si>
  <si>
    <t>6_11</t>
  </si>
  <si>
    <t>2_4</t>
  </si>
  <si>
    <t>2_5</t>
  </si>
  <si>
    <t>7_1</t>
  </si>
  <si>
    <t>7_2</t>
  </si>
  <si>
    <t>7_3</t>
  </si>
  <si>
    <t>7_4</t>
  </si>
  <si>
    <t>7_5</t>
  </si>
  <si>
    <t>7_6</t>
  </si>
  <si>
    <t>7_7</t>
  </si>
  <si>
    <t>7_8</t>
  </si>
  <si>
    <t>Vyber Specifický cíl</t>
  </si>
  <si>
    <t>Veřejná podpora:</t>
  </si>
  <si>
    <t>mimo Veřejnou podporu</t>
  </si>
  <si>
    <t>Souhrnný rozpočet</t>
  </si>
  <si>
    <t>Realizace</t>
  </si>
  <si>
    <t>Nezpůsobilá část celkem</t>
  </si>
  <si>
    <t>DPH [%]</t>
  </si>
  <si>
    <t>Celkem</t>
  </si>
  <si>
    <t>%PP</t>
  </si>
  <si>
    <t>Velikost podniku:</t>
  </si>
  <si>
    <t>Střední podnik</t>
  </si>
  <si>
    <t>Velký podnik</t>
  </si>
  <si>
    <t>Vyber</t>
  </si>
  <si>
    <t>Specifický cíl:</t>
  </si>
  <si>
    <t xml:space="preserve"> = Celk. zp. přímé realizační výdaje</t>
  </si>
  <si>
    <t xml:space="preserve"> = Celk. zp. náklady (realizace)</t>
  </si>
  <si>
    <t>Celkové způsobilé výdaje projeku</t>
  </si>
  <si>
    <t>Celkové nezpůsobilé výdaje projetku</t>
  </si>
  <si>
    <t>CZN PP VP</t>
  </si>
  <si>
    <t>% CZN max</t>
  </si>
  <si>
    <t>7% pod 3 mil</t>
  </si>
  <si>
    <t>3,5% nad 10 mil</t>
  </si>
  <si>
    <t>5% 3 až 10 mil</t>
  </si>
  <si>
    <t>zde vepište případný komentář k nezpůsobilým výdajům</t>
  </si>
  <si>
    <t>kurz euro Kč</t>
  </si>
  <si>
    <t>https://ec.europa.eu/info/funding-tenders/procedures-guidelines-tenders/information-contractors-and-beneficiaries/exchange-rate-inforeuro_cs</t>
  </si>
  <si>
    <t>1.1.3 Zlepšení kvality vnitřního prostředí veřejných budov</t>
  </si>
  <si>
    <t>1.3.2 Zpracování studií a plánů (studie systémů sídelní zeleně, územní studie krajiny, plán územního systému ekologické stability)</t>
  </si>
  <si>
    <t>1.3.3 Realizace protipovodňových opatření</t>
  </si>
  <si>
    <t>1.3.4 Realizace opatření ke zpomalení odtoku, pro vsak, retenci a akumulaci srážkové vody vč. jejího dalšího využití; realizace zelených střech; opatření na využití šedé vody; opatření pro řízenou dotaci podzemních vod</t>
  </si>
  <si>
    <t xml:space="preserve">1.3.5 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 </t>
  </si>
  <si>
    <t>1.3.6 Podpora povodňové operativy, zvyšování povědomí obyvatel o povodňovém riziku, zvyšování resilience citlivých objektů před povodněmi</t>
  </si>
  <si>
    <t>1.3.7 Monitoring a rebilance dlouhodobě využitelných zdrojů podzemních vod pro obce v krystaliniku Českého masivu</t>
  </si>
  <si>
    <t>1.3.8 Obnova stability svahů, stabilizace a sanace extrémních svahových nestabilit vzniklých v důsledku přírodních jevů</t>
  </si>
  <si>
    <t>1.3.9 Investice do modernizace vzdělávacích environmentálních center zaměřených na změnu klimatu</t>
  </si>
  <si>
    <t>1.3.10 Prevence a řízení antropogenních rizik</t>
  </si>
  <si>
    <t xml:space="preserve">1.4.1 Výstavba čistíren odpadních vod; dobudování a výstavba kanalizaci </t>
  </si>
  <si>
    <t>1.6.1 Podpora přírodních stanovišť a druhů a péče o nejcennější části přírody a krajiny</t>
  </si>
  <si>
    <t>1.6.2 Zprůchodnění migračních překážek pro živočichy</t>
  </si>
  <si>
    <t>1.6.3 Modernizace a rozvoj záchranných stanic a záchranných center CITES pro ohrožené druhy živočichů</t>
  </si>
  <si>
    <t>1.6.5 Pořízení a modernizace systémů pro posuzování a vyhodnocení úrovně znečištění ovzduší a souvisejících meteorologických aspektů a pořízení a modernizace systémů pro archivaci a zpracování údajů o znečišťování ovzduší</t>
  </si>
  <si>
    <t>1.6.6 Pořízení a náhrada monitorovacích systémů pro kontinuální měření emisí znečišťujících látek včetně pořízení on-line systémů k jejich prezentaci</t>
  </si>
  <si>
    <t>1.6.4 Náhrada nebo rekonstrukce stacionárních zdrojů znečišťování ovzduší včetně realizace dodatečných technologií a změny technologických postupů</t>
  </si>
  <si>
    <t>1.6.7 Průzkum rozsahu znečištění horninového prostředí a rizik s ním spojených, včetně návrhu efektivního řešení</t>
  </si>
  <si>
    <t>1.6.8 Odstranění rizik kontaminace ohrožující lidské zdraví, vodní zdroje nebo ekosystémy a rekultivace starých skládek</t>
  </si>
  <si>
    <t>4_4</t>
  </si>
  <si>
    <t>4_5</t>
  </si>
  <si>
    <t>4_6</t>
  </si>
  <si>
    <t>4_7</t>
  </si>
  <si>
    <t>4_8</t>
  </si>
  <si>
    <t>4_9</t>
  </si>
  <si>
    <t>4_10</t>
  </si>
  <si>
    <t>vyber Podaktivitu</t>
  </si>
  <si>
    <t>Paušální sazba</t>
  </si>
  <si>
    <t>Nepřímé náklady dle Pržap - Příloha č. 3, část III.</t>
  </si>
  <si>
    <t>Komentář ke stanoveným nezpůsobilým nákladům:</t>
  </si>
  <si>
    <t>Důležité informace jsou označeny v komentáři u daných buněk.</t>
  </si>
  <si>
    <t xml:space="preserve"> </t>
  </si>
  <si>
    <t>DPH uznatelnost:</t>
  </si>
  <si>
    <t>Podaktivita (je-li relevantní)</t>
  </si>
  <si>
    <t>1.1 Podpora energetické účinnosti a snižování emisí skleníkových plynů</t>
  </si>
  <si>
    <t>1.2 Podpora energie z obnovitelných zdrojů v souladu se směrnicí (EU) 2018/2001, včetně kritérií udržitelnosti stanovených v uvedené směrnici</t>
  </si>
  <si>
    <t>1.3 Podpora přizpůsobení se změně klimatu, prevence rizika katastrof a odolnosti vůči nim s přihlédnutím k ekosystémovým přístupům</t>
  </si>
  <si>
    <t>1.4 Podpora přístupu k vodě a udržitelného hospodaření s vodou</t>
  </si>
  <si>
    <t>1.5 Podpora přechodu na oběhové hospodářství účinně využívající zdroje</t>
  </si>
  <si>
    <t>1.6 Posilování ochrany a zachování přírody, biologické rozmanitosti a zelené infrastruktury, a to i v městských oblastech, a snižování všech forem znečištění</t>
  </si>
  <si>
    <t>1.3.1.1 Tvorba nových a obnova stávajících přírodě blízkých vodních prvků v krajině včetně sídel</t>
  </si>
  <si>
    <t>1.3.1.2 Tvorba nových a obnova stávajících vegetačních prvků a struktur, včetně opatření proti vodní a větrné erozi</t>
  </si>
  <si>
    <t>1.3.1.3 Úprava lesních porostů směrem k přirozené struktuře a druhové skladbě za účelem posílení jejich stability</t>
  </si>
  <si>
    <t>1.3.1.4 Zakládání a obnova veřejné sídelní zeleně</t>
  </si>
  <si>
    <t>1.3.1.5 Odstranění či eliminace negativních funkcí odvodňovacích zařízení v krajině</t>
  </si>
  <si>
    <t>1.6.1.1 Péče o přírodní stanoviště a druhy, opatření na podporu ohrožených druhů</t>
  </si>
  <si>
    <t xml:space="preserve">1.6.1.2 Péče o chráněná území (přírodní dědictví) </t>
  </si>
  <si>
    <t>1.6.1.3 Omezení šíření invazních nepůvodních a expanzivních druhů</t>
  </si>
  <si>
    <t>1.6.1.4 Monitoring ekosystémů, stanovišť a druhů, sběr podkladů, zpracování koncepčních dokumentů pro péči o chráněná území, zajištění územní ochrany chráněných území (přírodního dědictví</t>
  </si>
  <si>
    <t>1.6.1.5 Návštěvnická infrastruktura sloužící k usměrnění návštěvníků v chráněných územích a zvýšení povědomí o problematice ochrany přírody</t>
  </si>
  <si>
    <t>1.6.2.1 Zprůchodnění migračních překážek pro vodní živočichy a opatření k omezování jejich úmrtnosti</t>
  </si>
  <si>
    <t>1.6.2.2 Zprůchodnění migračních překážek pro suchozemské živočichy a opatření k omezování jejich úmrtnosti</t>
  </si>
  <si>
    <t>1.3.1.1.2 Malé vodní nádrže (MVN)</t>
  </si>
  <si>
    <t>1.3.1.1.3 Revitalizace a renaturace vodních toků a niv</t>
  </si>
  <si>
    <t>1.3.1.1.4 Nákup pozemků pro podporu renaturačních procesů a revitalizací vodních toků</t>
  </si>
  <si>
    <t>1.3.1.2.1 Vegetační krajinné prvky (včetně skladebných prvků ÚSES)</t>
  </si>
  <si>
    <t>1.3.1.2.2 Zavádění půdoochranných technologií</t>
  </si>
  <si>
    <t>1.6.1.1.1 Péče o přírodní stanoviště a druhy, opatření na podporu ohrožených druhů</t>
  </si>
  <si>
    <t>1.6.1.1.2 Předcházení, minimalizace a náprava škod způsobených vybranými zvláště chráněnými druhy živočichů</t>
  </si>
  <si>
    <t>1.3.1.1.1 Vytváření a obnova tůní (mokřadů)</t>
  </si>
  <si>
    <t>DPH uznatelné = Nejsem plátce DPH</t>
  </si>
  <si>
    <t>DPH uznatelné = Jsem plátce DPH a nemám zákonný nárok na odpočet DPH ve vztahu k aktivitám projektu</t>
  </si>
  <si>
    <t>9_1</t>
  </si>
  <si>
    <t>9_2</t>
  </si>
  <si>
    <t>35_1</t>
  </si>
  <si>
    <t>irelevantní</t>
  </si>
  <si>
    <t>Celkové náklady projektu</t>
  </si>
  <si>
    <t>Náklady bez DPH</t>
  </si>
  <si>
    <t>Náklady s DPH</t>
  </si>
  <si>
    <t>Nezpůsobilá část z celkových nákladů stanovená žadatelem (bez DPH)</t>
  </si>
  <si>
    <t>Způsobilé náklady po zohlednění limitů způsobilých nákladů a způsobilosti DPH</t>
  </si>
  <si>
    <t>Zpracoval</t>
  </si>
  <si>
    <t>………………………………..</t>
  </si>
  <si>
    <t>Maximální výše způsobilých nepřímých nákladů se automaticky dopočítává dle výše celkových způsobilých přímých realizačních výdajů a uznatelnosti DPH</t>
  </si>
  <si>
    <t>více opatření</t>
  </si>
  <si>
    <t>více aktivit</t>
  </si>
  <si>
    <t>více podaktivit</t>
  </si>
  <si>
    <t>Vyber nejprve Specifický cíl a poté hlavní Opatření projektu</t>
  </si>
  <si>
    <t>Opatření #2</t>
  </si>
  <si>
    <t>Opatření #3</t>
  </si>
  <si>
    <t>Opatření #4</t>
  </si>
  <si>
    <t>Opatření #5</t>
  </si>
  <si>
    <t>Opatření #6</t>
  </si>
  <si>
    <t>Opatření #7</t>
  </si>
  <si>
    <t>Opatření #8</t>
  </si>
  <si>
    <t>Opatření #9</t>
  </si>
  <si>
    <t>Opatření #10</t>
  </si>
  <si>
    <t>Opatření #11</t>
  </si>
  <si>
    <t>vyber Opatření #2</t>
  </si>
  <si>
    <t>vyber Opatření #3</t>
  </si>
  <si>
    <t>vyber Opatření #4</t>
  </si>
  <si>
    <t>vyber Opatření #5</t>
  </si>
  <si>
    <t>vyber Opatření #6</t>
  </si>
  <si>
    <t>vyber Opatření #7</t>
  </si>
  <si>
    <t>vyber Opatření #8</t>
  </si>
  <si>
    <t>vyber Opatření #9</t>
  </si>
  <si>
    <t>vyber Opatření #10</t>
  </si>
  <si>
    <t>vyber Opatření #11</t>
  </si>
  <si>
    <t>vyber Aktivitu #2</t>
  </si>
  <si>
    <t>vyber Aktivitu #3</t>
  </si>
  <si>
    <t>vyber Aktivitu #4</t>
  </si>
  <si>
    <t>vyber Aktivitu #5</t>
  </si>
  <si>
    <t>Podaktivity - vyberte všechny další Podaktivity na projektu</t>
  </si>
  <si>
    <t>hlavní Podaktivita z KR</t>
  </si>
  <si>
    <t>vyber Podaktivitu #2</t>
  </si>
  <si>
    <t>vyber Podaktivitu #3</t>
  </si>
  <si>
    <t>vyber Podaktivitu #4</t>
  </si>
  <si>
    <t>Opatření specifického cíle (hlavní)</t>
  </si>
  <si>
    <t>Aktivita (hlavní)</t>
  </si>
  <si>
    <t>Podaktivita (hlavní)</t>
  </si>
  <si>
    <t>Aktivita #2</t>
  </si>
  <si>
    <t>Aktivita #3</t>
  </si>
  <si>
    <t>Aktivita #4</t>
  </si>
  <si>
    <t>Aktivita #5</t>
  </si>
  <si>
    <t>Podaktivita #2</t>
  </si>
  <si>
    <t>Podaktivita #3</t>
  </si>
  <si>
    <t>Podaktivita #4</t>
  </si>
  <si>
    <r>
      <t xml:space="preserve">moje ctrl - </t>
    </r>
    <r>
      <rPr>
        <b/>
        <sz val="11"/>
        <color theme="0"/>
        <rFont val="Calibri"/>
        <family val="2"/>
        <charset val="238"/>
        <scheme val="minor"/>
      </rPr>
      <t>vymazat</t>
    </r>
  </si>
  <si>
    <t xml:space="preserve">de minimis 1407/2013 </t>
  </si>
  <si>
    <t xml:space="preserve">de minimis 1408/2013 </t>
  </si>
  <si>
    <t xml:space="preserve">de minimis 717/2014 </t>
  </si>
  <si>
    <t xml:space="preserve">de minimis 360/2012 </t>
  </si>
  <si>
    <t>GBER článek 14</t>
  </si>
  <si>
    <t>GBER ŽP článek 36</t>
  </si>
  <si>
    <t>GBER ŽP článek 38</t>
  </si>
  <si>
    <t>GBER ŽP článek 41</t>
  </si>
  <si>
    <t>GBER ŽP článek 45</t>
  </si>
  <si>
    <t>GBER ŽP článek 46</t>
  </si>
  <si>
    <t>GBER ŽP článek 47</t>
  </si>
  <si>
    <t>GBER ŽP článek 49</t>
  </si>
  <si>
    <t xml:space="preserve">GBER článek 53, kulturní infrastruktura </t>
  </si>
  <si>
    <t>GBER článek 55, sportovní infrastruktura</t>
  </si>
  <si>
    <t>GBER článek 56, lokální infrastruktura</t>
  </si>
  <si>
    <t xml:space="preserve">SGEI Rozhodnutí Komise </t>
  </si>
  <si>
    <t xml:space="preserve">Pokyny AGRI, Prevence škod způsobených zvláště chráněnými živočišnými druhy </t>
  </si>
  <si>
    <t>paušál PP</t>
  </si>
  <si>
    <t>Celkové způsobilé výdaje projektu</t>
  </si>
  <si>
    <t>Celkové nezpůsobilé výdaje projektu</t>
  </si>
  <si>
    <t>Výstup z Kumulativního rozpočtu do rozpočtu v ISKP21+</t>
  </si>
  <si>
    <t>Rozdělení nákladů na investiční a neinvestiční zadá do ISKP21+ žadatel v souladu s účetními předpisy.</t>
  </si>
  <si>
    <t>Výše uvedené částky musí bez výhrady odpovídat příslušným řádkům v ISKP21+.</t>
  </si>
  <si>
    <t>Tuto částku přepište dle investice a neinvestice do řádků 1.1.1.1 a 1.1.1.2 rozpočtu projektu v ISKP21+.</t>
  </si>
  <si>
    <t>Tuto částku přepište dle investice a neinvestice do řádků 1.1.3 a 1.1.4  rozpočtu projektu v ISKP21+.</t>
  </si>
  <si>
    <t>Tuto částku přepište dle investice a neinvestice do řádků 1.2.5 a 1.2.6  rozpočtu projektu v ISKP21+.</t>
  </si>
  <si>
    <t>Malý podnik</t>
  </si>
  <si>
    <t>ISKP Nezpůsobilé inv. a neinv. náklady bez ohledu na VP (řádky 1.2.5 a 1.2.6)</t>
  </si>
  <si>
    <t>ISKP Přímé inv. a neinv. náklady do limitu PS bez VP či VP s výpočtem paušálu (řádky 1.1.1.1 + 1.1.1.2)</t>
  </si>
  <si>
    <t>ISKP Přímé inv. a neinv. náklady nad limit PS bez VP či VP s výpočtem paušálu nebo Přímé inv. a neinv. náklady s VP bez  výpočtu paušálu (řádky 1.1.3 a 1.1.4)</t>
  </si>
  <si>
    <t>Paušální sazba (bez VP či VP s výpočtem paušálu)</t>
  </si>
  <si>
    <t>"Projektová příprava" dle skutečných nákladů s limitem dle PS pro VP</t>
  </si>
  <si>
    <t>5% nad 10 mil</t>
  </si>
  <si>
    <t>7% do 10 mil</t>
  </si>
  <si>
    <t>SC 1.3, 1.6</t>
  </si>
  <si>
    <t>Editujte pouze zelená pole nebo použijte výběrová tlačítka</t>
  </si>
  <si>
    <t>DPH neuznatelné = Jsem plátce DPH a mám nárok na odpočet DPH ve vztahu k aktivitám projektu / CN &gt; 5mil eur dle kap. B.1.6.3 PrŽaP</t>
  </si>
  <si>
    <t>pozor na max částku PS dle % CZPRV, aktuálně nastaveno na 3,5%=15mil=&gt;428mil</t>
  </si>
  <si>
    <t>ABER článek 14</t>
  </si>
  <si>
    <t>ABER článek 36</t>
  </si>
  <si>
    <t>ABER článek 44</t>
  </si>
  <si>
    <t>ABER článek 50</t>
  </si>
  <si>
    <t>GBER ŽP článek 38 a)</t>
  </si>
  <si>
    <t>skut náklady PP</t>
  </si>
  <si>
    <t>1.3.1 Podpora přírodě blízkých opatření v krajině a sídlech -FS</t>
  </si>
  <si>
    <t>1.3.11 Podpora přírodě blízkých opatření v krajině a sídlech - ERDF</t>
  </si>
  <si>
    <t>4_11</t>
  </si>
  <si>
    <t>43_1</t>
  </si>
  <si>
    <t>1.3.11.1 Tvorba nových a obnova stávajících přírodě blízkých vodních prvků v krajině včetně sídel</t>
  </si>
  <si>
    <t>43_2</t>
  </si>
  <si>
    <t>1.3.11.2 Tvorba nových a obnova stávajících vegetačních prvků a struktur, včetně opatření proti vodní a větrné erozi</t>
  </si>
  <si>
    <t>1.3.11.1.1 Vytváření a obnova tůní (mokřadů)</t>
  </si>
  <si>
    <t>1.3.11.1.2 Malé vodní nádrže (MVN)</t>
  </si>
  <si>
    <t>1.3.11.2.1 Vegetační krajinné prvky (včetně skladebných prvků ÚSES)</t>
  </si>
  <si>
    <t>1.3.11.1.3 Revitalizace a renaturace vodních toků a niv</t>
  </si>
  <si>
    <t>1.3.11.1.4 Nákup nemovitostí pro podporu renaturačních procesů</t>
  </si>
  <si>
    <t>Důležité:</t>
  </si>
  <si>
    <t xml:space="preserve">Obecně platí, že za způsobilé náklady jsou považovány stavební práce, dodávky a služby bezprostředně související s předmětem podpory. Tedy technologická zařízení (spotřebiče), které jsou ve výčtu navrhovaných opatření energetického posudku, včetně VZT s rekuperací a osvětlení. Nezpůsobilými náklady jsou např. pracovní stoly (jakéhokoli charakteru, s dřezem, zásuvkami atd.), umyvadla, vodovodní baterie, sprchy, police, regály, termoporty, podlahové mycí stroje, zásuvkové vozíky, dřezy, manipulační vozíky, skříňky, řeznické špalky, hasicí přístroje, náklady týkající se vytápění, otopné soustavy, zateplení, výměny oken/dveří atp. Jednoduše dodávky zařízení a stavební práce bezprostředně nesouvisející s realizací/instalací dané technologie. Rozdělte tedy rozpočty na způsobilé a nezpůsobilé náklady Ke každé způsobilé položce/oddílu doplňte zdůvodnění souvislosti s výměnou/instalací relevantní technologie, včetně položek stavebních prací či dodávek/montáže a dle toho vyplňte kumulativní rozpočet. </t>
  </si>
  <si>
    <t xml:space="preserve">Stavební náklady/technologie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</si>
</sst>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31" x14ac:knownFonts="1">
    <font>
      <sz val="11"/>
      <color theme="1"/>
      <name val="Calibri"/>
      <family val="2"/>
      <charset val="238"/>
      <scheme val="minor"/>
    </font>
    <font>
      <b/>
      <sz val="11"/>
      <color theme="1"/>
      <name val="Calibri"/>
      <family val="2"/>
      <charset val="238"/>
      <scheme val="minor"/>
    </font>
    <font>
      <sz val="28"/>
      <color theme="1"/>
      <name val="Calibri"/>
      <family val="2"/>
      <charset val="238"/>
      <scheme val="minor"/>
    </font>
    <font>
      <sz val="11"/>
      <name val="Calibri"/>
      <family val="2"/>
      <charset val="238"/>
      <scheme val="minor"/>
    </font>
    <font>
      <i/>
      <sz val="11"/>
      <color theme="1"/>
      <name val="Calibri"/>
      <family val="2"/>
      <charset val="238"/>
      <scheme val="minor"/>
    </font>
    <font>
      <b/>
      <i/>
      <sz val="11"/>
      <color rgb="FFFF0000"/>
      <name val="Calibri"/>
      <family val="2"/>
      <charset val="238"/>
      <scheme val="minor"/>
    </font>
    <font>
      <sz val="9"/>
      <color indexed="81"/>
      <name val="Tahoma"/>
      <family val="2"/>
      <charset val="238"/>
    </font>
    <font>
      <b/>
      <sz val="9"/>
      <color indexed="81"/>
      <name val="Tahoma"/>
      <family val="2"/>
      <charset val="238"/>
    </font>
    <font>
      <b/>
      <sz val="14"/>
      <color theme="1"/>
      <name val="Calibri"/>
      <family val="2"/>
      <charset val="238"/>
      <scheme val="minor"/>
    </font>
    <font>
      <sz val="9"/>
      <color indexed="81"/>
      <name val="Calibri"/>
      <family val="2"/>
      <charset val="238"/>
      <scheme val="minor"/>
    </font>
    <font>
      <sz val="12"/>
      <color theme="1"/>
      <name val="Calibri"/>
      <family val="2"/>
      <charset val="238"/>
      <scheme val="minor"/>
    </font>
    <font>
      <b/>
      <sz val="12"/>
      <color theme="1"/>
      <name val="Calibri"/>
      <family val="2"/>
      <charset val="238"/>
      <scheme val="minor"/>
    </font>
    <font>
      <b/>
      <sz val="10"/>
      <color indexed="81"/>
      <name val="Tahoma"/>
      <family val="2"/>
      <charset val="238"/>
    </font>
    <font>
      <sz val="10"/>
      <color indexed="81"/>
      <name val="Tahoma"/>
      <family val="2"/>
      <charset val="238"/>
    </font>
    <font>
      <sz val="11"/>
      <color theme="0"/>
      <name val="Calibri"/>
      <family val="2"/>
      <charset val="238"/>
      <scheme val="minor"/>
    </font>
    <font>
      <sz val="9"/>
      <color rgb="FF414042"/>
      <name val="Arial"/>
      <family val="2"/>
      <charset val="238"/>
    </font>
    <font>
      <b/>
      <sz val="11"/>
      <color theme="0"/>
      <name val="Calibri"/>
      <family val="2"/>
      <charset val="238"/>
      <scheme val="minor"/>
    </font>
    <font>
      <sz val="11"/>
      <color rgb="FFFF0000"/>
      <name val="Calibri"/>
      <family val="2"/>
      <charset val="238"/>
      <scheme val="minor"/>
    </font>
    <font>
      <b/>
      <i/>
      <sz val="14"/>
      <color theme="1"/>
      <name val="Calibri"/>
      <family val="2"/>
      <charset val="238"/>
      <scheme val="minor"/>
    </font>
    <font>
      <b/>
      <sz val="11"/>
      <color rgb="FFFF0000"/>
      <name val="Calibri"/>
      <family val="2"/>
      <charset val="238"/>
      <scheme val="minor"/>
    </font>
    <font>
      <sz val="8"/>
      <name val="Calibri"/>
      <family val="2"/>
      <charset val="238"/>
      <scheme val="minor"/>
    </font>
    <font>
      <sz val="11"/>
      <color rgb="FF444444"/>
      <name val="Calibri"/>
      <family val="2"/>
      <charset val="238"/>
      <scheme val="minor"/>
    </font>
    <font>
      <sz val="9"/>
      <color indexed="10"/>
      <name val="Calibri"/>
      <family val="2"/>
      <charset val="238"/>
      <scheme val="minor"/>
    </font>
    <font>
      <sz val="9"/>
      <color indexed="8"/>
      <name val="Calibri"/>
      <family val="2"/>
      <charset val="238"/>
      <scheme val="minor"/>
    </font>
    <font>
      <b/>
      <sz val="11"/>
      <color theme="1" tint="0.249977111117893"/>
      <name val="Calibri"/>
      <family val="2"/>
      <charset val="238"/>
      <scheme val="minor"/>
    </font>
    <font>
      <sz val="11"/>
      <color theme="1" tint="0.249977111117893"/>
      <name val="Calibri"/>
      <family val="2"/>
      <charset val="238"/>
      <scheme val="minor"/>
    </font>
    <font>
      <b/>
      <sz val="14"/>
      <color theme="1" tint="0.249977111117893"/>
      <name val="Calibri"/>
      <family val="2"/>
      <charset val="238"/>
      <scheme val="minor"/>
    </font>
    <font>
      <sz val="28"/>
      <color theme="1" tint="0.249977111117893"/>
      <name val="Calibri"/>
      <family val="2"/>
      <charset val="238"/>
      <scheme val="minor"/>
    </font>
    <font>
      <i/>
      <sz val="11"/>
      <color theme="1" tint="0.249977111117893"/>
      <name val="Calibri"/>
      <family val="2"/>
      <charset val="238"/>
      <scheme val="minor"/>
    </font>
    <font>
      <b/>
      <sz val="12"/>
      <color theme="1" tint="0.249977111117893"/>
      <name val="Calibri"/>
      <family val="2"/>
      <charset val="238"/>
      <scheme val="minor"/>
    </font>
    <font>
      <b/>
      <sz val="18"/>
      <color theme="1" tint="0.249977111117893"/>
      <name val="Calibri"/>
      <family val="2"/>
      <charset val="238"/>
      <scheme val="minor"/>
    </font>
  </fonts>
  <fills count="15">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34998626667073579"/>
      </left>
      <right style="thin">
        <color theme="1" tint="0.499984740745262"/>
      </right>
      <top/>
      <bottom style="medium">
        <color theme="1" tint="0.34998626667073579"/>
      </bottom>
      <diagonal/>
    </border>
    <border>
      <left style="thin">
        <color theme="1" tint="0.499984740745262"/>
      </left>
      <right style="thin">
        <color theme="1" tint="0.499984740745262"/>
      </right>
      <top/>
      <bottom style="medium">
        <color theme="1" tint="0.34998626667073579"/>
      </bottom>
      <diagonal/>
    </border>
    <border>
      <left style="medium">
        <color theme="1" tint="0.24994659260841701"/>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499984740745262"/>
      </right>
      <top style="medium">
        <color theme="1" tint="0.24994659260841701"/>
      </top>
      <bottom style="thin">
        <color theme="1" tint="0.499984740745262"/>
      </bottom>
      <diagonal/>
    </border>
    <border>
      <left style="thin">
        <color theme="1" tint="0.499984740745262"/>
      </left>
      <right style="medium">
        <color theme="1" tint="0.24994659260841701"/>
      </right>
      <top style="medium">
        <color theme="1" tint="0.24994659260841701"/>
      </top>
      <bottom style="thin">
        <color theme="1" tint="0.499984740745262"/>
      </bottom>
      <diagonal/>
    </border>
    <border>
      <left style="medium">
        <color theme="1"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24994659260841701"/>
      </right>
      <top style="thin">
        <color theme="1" tint="0.499984740745262"/>
      </top>
      <bottom style="thin">
        <color theme="1" tint="0.499984740745262"/>
      </bottom>
      <diagonal/>
    </border>
    <border>
      <left style="medium">
        <color theme="1" tint="0.24994659260841701"/>
      </left>
      <right style="thin">
        <color theme="1" tint="0.499984740745262"/>
      </right>
      <top style="thin">
        <color theme="1" tint="0.499984740745262"/>
      </top>
      <bottom style="medium">
        <color theme="1" tint="0.24994659260841701"/>
      </bottom>
      <diagonal/>
    </border>
    <border>
      <left style="thin">
        <color theme="1" tint="0.499984740745262"/>
      </left>
      <right style="thin">
        <color theme="1" tint="0.499984740745262"/>
      </right>
      <top style="thin">
        <color theme="1" tint="0.499984740745262"/>
      </top>
      <bottom style="medium">
        <color theme="1" tint="0.24994659260841701"/>
      </bottom>
      <diagonal/>
    </border>
    <border>
      <left style="thin">
        <color theme="1" tint="0.499984740745262"/>
      </left>
      <right style="medium">
        <color theme="1" tint="0.24994659260841701"/>
      </right>
      <top style="thin">
        <color theme="1" tint="0.499984740745262"/>
      </top>
      <bottom style="medium">
        <color theme="1" tint="0.24994659260841701"/>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medium">
        <color theme="1" tint="0.24994659260841701"/>
      </right>
      <top style="thin">
        <color theme="1" tint="0.24994659260841701"/>
      </top>
      <bottom style="medium">
        <color theme="1" tint="0.24994659260841701"/>
      </bottom>
      <diagonal/>
    </border>
    <border>
      <left style="thin">
        <color theme="1" tint="0.499984740745262"/>
      </left>
      <right style="medium">
        <color theme="1" tint="0.34998626667073579"/>
      </right>
      <top style="medium">
        <color theme="1" tint="0.24994659260841701"/>
      </top>
      <bottom style="medium">
        <color theme="1" tint="0.34998626667073579"/>
      </bottom>
      <diagonal/>
    </border>
    <border>
      <left style="thin">
        <color theme="1" tint="0.499984740745262"/>
      </left>
      <right style="thin">
        <color theme="1" tint="0.499984740745262"/>
      </right>
      <top style="medium">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style="medium">
        <color theme="1" tint="0.24994659260841701"/>
      </right>
      <top/>
      <bottom style="medium">
        <color theme="1" tint="0.24994659260841701"/>
      </bottom>
      <diagonal/>
    </border>
    <border>
      <left style="medium">
        <color theme="1" tint="0.24994659260841701"/>
      </left>
      <right/>
      <top style="medium">
        <color theme="1" tint="0.24994659260841701"/>
      </top>
      <bottom style="thin">
        <color indexed="64"/>
      </bottom>
      <diagonal/>
    </border>
    <border>
      <left/>
      <right/>
      <top style="medium">
        <color theme="1" tint="0.24994659260841701"/>
      </top>
      <bottom style="thin">
        <color indexed="64"/>
      </bottom>
      <diagonal/>
    </border>
    <border>
      <left/>
      <right style="thin">
        <color indexed="64"/>
      </right>
      <top style="medium">
        <color theme="1" tint="0.24994659260841701"/>
      </top>
      <bottom style="thin">
        <color indexed="64"/>
      </bottom>
      <diagonal/>
    </border>
    <border>
      <left/>
      <right style="medium">
        <color theme="1" tint="0.24994659260841701"/>
      </right>
      <top style="medium">
        <color theme="1" tint="0.24994659260841701"/>
      </top>
      <bottom style="thin">
        <color indexed="64"/>
      </bottom>
      <diagonal/>
    </border>
    <border>
      <left style="medium">
        <color theme="1" tint="0.24994659260841701"/>
      </left>
      <right/>
      <top style="thin">
        <color indexed="64"/>
      </top>
      <bottom style="thin">
        <color indexed="64"/>
      </bottom>
      <diagonal/>
    </border>
    <border>
      <left style="thin">
        <color auto="1"/>
      </left>
      <right style="medium">
        <color theme="1" tint="0.24994659260841701"/>
      </right>
      <top style="thin">
        <color auto="1"/>
      </top>
      <bottom style="thin">
        <color auto="1"/>
      </bottom>
      <diagonal/>
    </border>
    <border>
      <left/>
      <right/>
      <top/>
      <bottom style="medium">
        <color theme="1" tint="0.24994659260841701"/>
      </bottom>
      <diagonal/>
    </border>
    <border>
      <left/>
      <right style="thin">
        <color indexed="64"/>
      </right>
      <top/>
      <bottom style="medium">
        <color theme="1" tint="0.24994659260841701"/>
      </bottom>
      <diagonal/>
    </border>
    <border>
      <left/>
      <right/>
      <top style="medium">
        <color theme="1" tint="0.24994659260841701"/>
      </top>
      <bottom/>
      <diagonal/>
    </border>
  </borders>
  <cellStyleXfs count="1">
    <xf numFmtId="0" fontId="0" fillId="0" borderId="0"/>
  </cellStyleXfs>
  <cellXfs count="180">
    <xf numFmtId="0" fontId="0" fillId="0" borderId="0" xfId="0"/>
    <xf numFmtId="0" fontId="0" fillId="0" borderId="1" xfId="0" applyBorder="1"/>
    <xf numFmtId="0" fontId="0" fillId="0" borderId="2" xfId="0" applyBorder="1"/>
    <xf numFmtId="0" fontId="0" fillId="0" borderId="3" xfId="0" applyBorder="1"/>
    <xf numFmtId="0" fontId="0" fillId="2" borderId="0" xfId="0" applyFill="1"/>
    <xf numFmtId="0" fontId="0" fillId="3" borderId="0" xfId="0" applyFill="1"/>
    <xf numFmtId="0" fontId="0" fillId="4" borderId="0" xfId="0" applyFill="1"/>
    <xf numFmtId="0" fontId="0" fillId="5" borderId="0" xfId="0" applyFill="1"/>
    <xf numFmtId="16" fontId="0" fillId="0" borderId="0" xfId="0" applyNumberFormat="1"/>
    <xf numFmtId="16" fontId="0" fillId="5" borderId="0" xfId="0" applyNumberFormat="1" applyFill="1"/>
    <xf numFmtId="0" fontId="0" fillId="6" borderId="0" xfId="0" applyFill="1"/>
    <xf numFmtId="4" fontId="0" fillId="0" borderId="0" xfId="0" applyNumberFormat="1"/>
    <xf numFmtId="0" fontId="0" fillId="8" borderId="0" xfId="0" applyFill="1"/>
    <xf numFmtId="0" fontId="0" fillId="7" borderId="0" xfId="0" applyFill="1"/>
    <xf numFmtId="0" fontId="0" fillId="10" borderId="0" xfId="0" applyFill="1"/>
    <xf numFmtId="0" fontId="0" fillId="11" borderId="0" xfId="0" applyFill="1"/>
    <xf numFmtId="16" fontId="0" fillId="8" borderId="0" xfId="0" applyNumberFormat="1" applyFill="1"/>
    <xf numFmtId="16" fontId="0" fillId="4" borderId="0" xfId="0" applyNumberFormat="1" applyFill="1"/>
    <xf numFmtId="0" fontId="0" fillId="13" borderId="0" xfId="0" applyFill="1"/>
    <xf numFmtId="0" fontId="0" fillId="0" borderId="0" xfId="0" applyAlignment="1">
      <alignment horizontal="center" vertical="center" wrapText="1"/>
    </xf>
    <xf numFmtId="0" fontId="15" fillId="0" borderId="0" xfId="0" applyFont="1" applyAlignment="1">
      <alignment horizontal="left" vertical="center"/>
    </xf>
    <xf numFmtId="0" fontId="0" fillId="0" borderId="4" xfId="0" applyBorder="1"/>
    <xf numFmtId="0" fontId="0" fillId="0" borderId="11" xfId="0" applyBorder="1"/>
    <xf numFmtId="0" fontId="0" fillId="0" borderId="5" xfId="0" applyBorder="1"/>
    <xf numFmtId="0" fontId="14" fillId="8" borderId="0" xfId="0" applyFont="1" applyFill="1" applyAlignment="1" applyProtection="1">
      <alignment horizontal="right" vertical="center"/>
      <protection hidden="1"/>
    </xf>
    <xf numFmtId="0" fontId="14" fillId="8" borderId="0" xfId="0" applyFont="1" applyFill="1" applyAlignment="1" applyProtection="1">
      <alignment vertical="center"/>
      <protection hidden="1"/>
    </xf>
    <xf numFmtId="0" fontId="16" fillId="8" borderId="0" xfId="0" applyFont="1" applyFill="1" applyAlignment="1" applyProtection="1">
      <alignment vertical="center"/>
      <protection hidden="1"/>
    </xf>
    <xf numFmtId="0" fontId="0" fillId="0" borderId="0" xfId="0"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0" fontId="0" fillId="8" borderId="13" xfId="0" applyFill="1" applyBorder="1" applyAlignment="1">
      <alignment horizontal="center" vertical="center"/>
    </xf>
    <xf numFmtId="4" fontId="0" fillId="0" borderId="14" xfId="0" applyNumberFormat="1" applyBorder="1" applyAlignment="1">
      <alignment horizontal="left" vertical="center" wrapText="1"/>
    </xf>
    <xf numFmtId="0" fontId="0" fillId="8" borderId="15" xfId="0" applyFill="1" applyBorder="1" applyAlignment="1">
      <alignment horizontal="center" vertical="center"/>
    </xf>
    <xf numFmtId="4" fontId="0" fillId="0" borderId="16" xfId="0" applyNumberFormat="1" applyBorder="1" applyAlignment="1">
      <alignment horizontal="left" vertical="center" wrapText="1"/>
    </xf>
    <xf numFmtId="0" fontId="0" fillId="8" borderId="17" xfId="0" applyFill="1" applyBorder="1" applyAlignment="1">
      <alignment horizontal="center" vertical="center"/>
    </xf>
    <xf numFmtId="4" fontId="0" fillId="0" borderId="18" xfId="0" applyNumberFormat="1" applyBorder="1" applyAlignment="1">
      <alignment horizontal="left" vertical="center" wrapText="1"/>
    </xf>
    <xf numFmtId="0" fontId="10" fillId="8" borderId="13"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0" fillId="0" borderId="20" xfId="0" applyBorder="1" applyAlignment="1">
      <alignment horizontal="left" vertical="center" wrapText="1"/>
    </xf>
    <xf numFmtId="0" fontId="10" fillId="8" borderId="15"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0" fillId="0" borderId="22" xfId="0" applyBorder="1" applyAlignment="1">
      <alignment horizontal="left" vertical="center" wrapText="1"/>
    </xf>
    <xf numFmtId="0" fontId="0" fillId="0" borderId="19" xfId="0" applyBorder="1" applyAlignment="1">
      <alignment horizontal="center" vertical="center" wrapText="1"/>
    </xf>
    <xf numFmtId="0" fontId="0" fillId="8" borderId="0" xfId="0"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5" fillId="8" borderId="0" xfId="0" applyFont="1" applyFill="1" applyAlignment="1" applyProtection="1">
      <alignment horizontal="center" vertical="center" wrapText="1"/>
      <protection hidden="1"/>
    </xf>
    <xf numFmtId="0" fontId="4" fillId="8" borderId="0" xfId="0" applyFont="1" applyFill="1" applyAlignment="1" applyProtection="1">
      <alignment vertical="center" wrapText="1"/>
      <protection hidden="1"/>
    </xf>
    <xf numFmtId="0" fontId="0" fillId="8" borderId="0" xfId="0" applyFill="1" applyAlignment="1" applyProtection="1">
      <alignment vertical="center" wrapText="1"/>
      <protection hidden="1"/>
    </xf>
    <xf numFmtId="0" fontId="5" fillId="8" borderId="0" xfId="0" applyFont="1" applyFill="1" applyAlignment="1" applyProtection="1">
      <alignment vertical="center" wrapText="1"/>
      <protection hidden="1"/>
    </xf>
    <xf numFmtId="0" fontId="3" fillId="8" borderId="0" xfId="0" applyFont="1" applyFill="1" applyAlignment="1" applyProtection="1">
      <alignment vertical="center"/>
      <protection hidden="1"/>
    </xf>
    <xf numFmtId="0" fontId="4" fillId="8" borderId="0" xfId="0" applyFont="1" applyFill="1" applyAlignment="1" applyProtection="1">
      <alignment vertical="center"/>
      <protection hidden="1"/>
    </xf>
    <xf numFmtId="0" fontId="1" fillId="8" borderId="0" xfId="0" applyFont="1" applyFill="1" applyAlignment="1" applyProtection="1">
      <alignment vertical="center" wrapText="1"/>
      <protection hidden="1"/>
    </xf>
    <xf numFmtId="0" fontId="0" fillId="8" borderId="0" xfId="0" applyFill="1" applyAlignment="1" applyProtection="1">
      <alignment horizontal="center" vertical="center"/>
      <protection hidden="1"/>
    </xf>
    <xf numFmtId="0" fontId="8" fillId="8" borderId="0" xfId="0" applyFont="1" applyFill="1" applyAlignment="1" applyProtection="1">
      <alignment vertical="center" wrapText="1"/>
      <protection hidden="1"/>
    </xf>
    <xf numFmtId="4" fontId="0" fillId="8" borderId="0" xfId="0" applyNumberFormat="1" applyFill="1" applyAlignment="1" applyProtection="1">
      <alignment horizontal="center" vertical="center" wrapText="1"/>
      <protection hidden="1"/>
    </xf>
    <xf numFmtId="4" fontId="14" fillId="8" borderId="0" xfId="0" applyNumberFormat="1" applyFont="1" applyFill="1" applyAlignment="1" applyProtection="1">
      <alignment horizontal="center" vertical="center"/>
      <protection hidden="1"/>
    </xf>
    <xf numFmtId="4" fontId="14" fillId="8" borderId="0" xfId="0" applyNumberFormat="1" applyFont="1" applyFill="1" applyAlignment="1" applyProtection="1">
      <alignment horizontal="center" vertical="center" wrapText="1"/>
      <protection hidden="1"/>
    </xf>
    <xf numFmtId="4" fontId="14" fillId="8" borderId="0" xfId="0" applyNumberFormat="1" applyFont="1" applyFill="1" applyAlignment="1" applyProtection="1">
      <alignment vertical="center"/>
      <protection hidden="1"/>
    </xf>
    <xf numFmtId="0" fontId="0" fillId="8" borderId="6" xfId="0" applyFill="1" applyBorder="1" applyAlignment="1" applyProtection="1">
      <alignment horizontal="center" vertical="center" wrapText="1"/>
      <protection hidden="1"/>
    </xf>
    <xf numFmtId="0" fontId="0" fillId="8" borderId="5" xfId="0" applyFill="1" applyBorder="1" applyAlignment="1" applyProtection="1">
      <alignment vertical="center" wrapText="1"/>
      <protection hidden="1"/>
    </xf>
    <xf numFmtId="4" fontId="0" fillId="8" borderId="6" xfId="0" applyNumberFormat="1" applyFill="1" applyBorder="1" applyAlignment="1" applyProtection="1">
      <alignment horizontal="center" vertical="center" wrapText="1"/>
      <protection hidden="1"/>
    </xf>
    <xf numFmtId="4" fontId="0" fillId="8" borderId="5" xfId="0" applyNumberFormat="1" applyFill="1" applyBorder="1" applyAlignment="1" applyProtection="1">
      <alignment horizontal="center" vertical="center" wrapText="1"/>
      <protection hidden="1"/>
    </xf>
    <xf numFmtId="4" fontId="0" fillId="8" borderId="7" xfId="0" applyNumberFormat="1" applyFill="1" applyBorder="1" applyAlignment="1" applyProtection="1">
      <alignment horizontal="center" vertical="center" wrapText="1"/>
      <protection hidden="1"/>
    </xf>
    <xf numFmtId="0" fontId="14" fillId="8" borderId="0" xfId="0" applyFont="1" applyFill="1" applyAlignment="1" applyProtection="1">
      <alignment horizontal="center" vertical="center"/>
      <protection hidden="1"/>
    </xf>
    <xf numFmtId="0" fontId="10" fillId="8" borderId="0" xfId="0" applyFont="1" applyFill="1" applyAlignment="1" applyProtection="1">
      <alignment vertical="center" wrapText="1"/>
      <protection hidden="1"/>
    </xf>
    <xf numFmtId="4" fontId="0" fillId="8" borderId="0" xfId="0" applyNumberFormat="1" applyFill="1" applyAlignment="1" applyProtection="1">
      <alignment horizontal="center" vertical="center"/>
      <protection hidden="1"/>
    </xf>
    <xf numFmtId="0" fontId="11" fillId="8" borderId="0" xfId="0" applyFont="1" applyFill="1" applyAlignment="1" applyProtection="1">
      <alignment horizontal="center"/>
      <protection hidden="1"/>
    </xf>
    <xf numFmtId="0" fontId="11" fillId="8" borderId="0" xfId="0" applyFont="1" applyFill="1" applyAlignment="1" applyProtection="1">
      <alignment vertical="center"/>
      <protection hidden="1"/>
    </xf>
    <xf numFmtId="0" fontId="14" fillId="8" borderId="0" xfId="0" applyFont="1" applyFill="1" applyAlignment="1" applyProtection="1">
      <alignment vertical="center"/>
      <protection locked="0"/>
    </xf>
    <xf numFmtId="0" fontId="0" fillId="0" borderId="0" xfId="0" applyAlignment="1">
      <alignment vertical="center"/>
    </xf>
    <xf numFmtId="0" fontId="0" fillId="12" borderId="0" xfId="0" applyFill="1" applyAlignment="1">
      <alignment vertical="center"/>
    </xf>
    <xf numFmtId="0" fontId="0" fillId="0" borderId="0" xfId="0" applyAlignment="1">
      <alignment horizontal="center"/>
    </xf>
    <xf numFmtId="4" fontId="17" fillId="8" borderId="0" xfId="0" applyNumberFormat="1" applyFont="1" applyFill="1" applyAlignment="1" applyProtection="1">
      <alignment vertical="center"/>
      <protection hidden="1"/>
    </xf>
    <xf numFmtId="0" fontId="17" fillId="8" borderId="0" xfId="0" applyFont="1" applyFill="1" applyAlignment="1" applyProtection="1">
      <alignment vertical="center"/>
      <protection hidden="1"/>
    </xf>
    <xf numFmtId="4" fontId="17" fillId="8" borderId="0" xfId="0" applyNumberFormat="1" applyFont="1" applyFill="1" applyAlignment="1" applyProtection="1">
      <alignment horizontal="center" vertical="center" wrapText="1"/>
      <protection hidden="1"/>
    </xf>
    <xf numFmtId="0" fontId="0" fillId="0" borderId="21" xfId="0" applyBorder="1" applyAlignment="1">
      <alignment horizontal="center" vertical="center" wrapText="1"/>
    </xf>
    <xf numFmtId="4" fontId="0" fillId="0" borderId="22" xfId="0" applyNumberFormat="1" applyBorder="1" applyAlignment="1">
      <alignment horizontal="left" vertical="center" wrapText="1"/>
    </xf>
    <xf numFmtId="0" fontId="10" fillId="14" borderId="15" xfId="0" applyFont="1" applyFill="1" applyBorder="1" applyAlignment="1">
      <alignment horizontal="center" vertical="center" wrapText="1"/>
    </xf>
    <xf numFmtId="0" fontId="0" fillId="14" borderId="16" xfId="0" applyFill="1" applyBorder="1" applyAlignment="1">
      <alignment horizontal="left" vertical="center" wrapText="1"/>
    </xf>
    <xf numFmtId="4" fontId="0" fillId="2" borderId="5" xfId="0" applyNumberFormat="1" applyFill="1" applyBorder="1" applyAlignment="1" applyProtection="1">
      <alignment horizontal="center" vertical="center" wrapText="1"/>
      <protection locked="0"/>
    </xf>
    <xf numFmtId="4" fontId="0" fillId="2" borderId="8" xfId="0" applyNumberFormat="1" applyFill="1" applyBorder="1" applyAlignment="1" applyProtection="1">
      <alignment horizontal="center" vertical="center" wrapText="1"/>
      <protection locked="0"/>
    </xf>
    <xf numFmtId="0" fontId="0" fillId="0" borderId="25" xfId="0" applyBorder="1"/>
    <xf numFmtId="0" fontId="0" fillId="0" borderId="26" xfId="0" applyBorder="1"/>
    <xf numFmtId="0" fontId="0" fillId="0" borderId="27" xfId="0" applyBorder="1"/>
    <xf numFmtId="0" fontId="0" fillId="0" borderId="29" xfId="0" applyBorder="1"/>
    <xf numFmtId="0" fontId="0" fillId="0" borderId="30" xfId="0" applyBorder="1"/>
    <xf numFmtId="0" fontId="0" fillId="9" borderId="24" xfId="0" applyFill="1" applyBorder="1"/>
    <xf numFmtId="0" fontId="0" fillId="9" borderId="10" xfId="0" applyFill="1" applyBorder="1"/>
    <xf numFmtId="0" fontId="0" fillId="0" borderId="10" xfId="0" applyBorder="1"/>
    <xf numFmtId="0" fontId="0" fillId="12" borderId="28" xfId="0" applyFill="1" applyBorder="1"/>
    <xf numFmtId="0" fontId="0" fillId="12" borderId="26" xfId="0" applyFill="1" applyBorder="1"/>
    <xf numFmtId="0" fontId="1" fillId="6" borderId="12" xfId="0" applyFont="1" applyFill="1" applyBorder="1"/>
    <xf numFmtId="0" fontId="4" fillId="0" borderId="0" xfId="0" applyFont="1"/>
    <xf numFmtId="0" fontId="21" fillId="0" borderId="0" xfId="0" applyFont="1"/>
    <xf numFmtId="0" fontId="17" fillId="8" borderId="0" xfId="0" applyFont="1" applyFill="1" applyAlignment="1" applyProtection="1">
      <alignment vertical="center" wrapText="1"/>
      <protection hidden="1"/>
    </xf>
    <xf numFmtId="0" fontId="17" fillId="0" borderId="0" xfId="0" applyFont="1" applyAlignment="1">
      <alignment vertical="center" wrapText="1"/>
    </xf>
    <xf numFmtId="0" fontId="5" fillId="8" borderId="0" xfId="0" applyFont="1" applyFill="1" applyAlignment="1" applyProtection="1">
      <alignment horizontal="center" vertical="center" wrapText="1"/>
      <protection hidden="1"/>
    </xf>
    <xf numFmtId="0" fontId="18" fillId="8" borderId="0" xfId="0" applyFont="1" applyFill="1" applyAlignment="1" applyProtection="1">
      <alignment horizontal="center" vertical="center" wrapText="1"/>
      <protection hidden="1"/>
    </xf>
    <xf numFmtId="0" fontId="10" fillId="8" borderId="0" xfId="0" applyFont="1" applyFill="1" applyAlignment="1" applyProtection="1">
      <alignment horizontal="center" vertical="center" wrapText="1"/>
      <protection hidden="1"/>
    </xf>
    <xf numFmtId="0" fontId="19" fillId="6" borderId="0" xfId="0" applyFont="1" applyFill="1" applyAlignment="1" applyProtection="1">
      <alignment horizontal="center" vertical="center" wrapText="1"/>
      <protection hidden="1"/>
    </xf>
    <xf numFmtId="0" fontId="3" fillId="2" borderId="44" xfId="0" applyFont="1" applyFill="1" applyBorder="1" applyAlignment="1" applyProtection="1">
      <alignment horizontal="left" vertical="center"/>
      <protection locked="0"/>
    </xf>
    <xf numFmtId="0" fontId="3" fillId="2" borderId="45" xfId="0" applyFont="1" applyFill="1" applyBorder="1" applyAlignment="1" applyProtection="1">
      <alignment horizontal="left" vertical="center"/>
      <protection locked="0"/>
    </xf>
    <xf numFmtId="0" fontId="3" fillId="2" borderId="47"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4" fontId="25" fillId="9" borderId="52" xfId="0" applyNumberFormat="1" applyFont="1" applyFill="1" applyBorder="1" applyAlignment="1" applyProtection="1">
      <alignment horizontal="center" vertical="center"/>
      <protection hidden="1"/>
    </xf>
    <xf numFmtId="49" fontId="25" fillId="9" borderId="0" xfId="0" applyNumberFormat="1" applyFont="1" applyFill="1" applyAlignment="1" applyProtection="1">
      <alignment horizontal="left" vertical="center" wrapText="1"/>
      <protection hidden="1"/>
    </xf>
    <xf numFmtId="4" fontId="25" fillId="7" borderId="0" xfId="0" applyNumberFormat="1" applyFont="1" applyFill="1" applyAlignment="1" applyProtection="1">
      <alignment horizontal="center" vertical="center" wrapText="1"/>
      <protection hidden="1"/>
    </xf>
    <xf numFmtId="49" fontId="25" fillId="7" borderId="0" xfId="0" applyNumberFormat="1" applyFont="1" applyFill="1" applyAlignment="1" applyProtection="1">
      <alignment vertical="center"/>
      <protection hidden="1"/>
    </xf>
    <xf numFmtId="0" fontId="26" fillId="8" borderId="35" xfId="0" applyFont="1" applyFill="1" applyBorder="1" applyAlignment="1" applyProtection="1">
      <alignment vertical="center" wrapText="1"/>
      <protection hidden="1"/>
    </xf>
    <xf numFmtId="0" fontId="24" fillId="8" borderId="36" xfId="0" applyFont="1" applyFill="1" applyBorder="1" applyAlignment="1" applyProtection="1">
      <alignment vertical="center"/>
      <protection hidden="1"/>
    </xf>
    <xf numFmtId="0" fontId="24" fillId="8" borderId="36" xfId="0" applyFont="1" applyFill="1" applyBorder="1" applyAlignment="1" applyProtection="1">
      <alignment horizontal="center" vertical="center" wrapText="1"/>
      <protection hidden="1"/>
    </xf>
    <xf numFmtId="0" fontId="24" fillId="8" borderId="37" xfId="0" applyFont="1" applyFill="1" applyBorder="1" applyAlignment="1" applyProtection="1">
      <alignment horizontal="center" vertical="center" wrapText="1"/>
      <protection hidden="1"/>
    </xf>
    <xf numFmtId="0" fontId="24" fillId="8" borderId="38" xfId="0" applyFont="1" applyFill="1" applyBorder="1" applyAlignment="1" applyProtection="1">
      <alignment horizontal="center" vertical="center"/>
      <protection hidden="1"/>
    </xf>
    <xf numFmtId="0" fontId="24" fillId="8" borderId="32" xfId="0" applyFont="1" applyFill="1" applyBorder="1" applyAlignment="1">
      <alignment vertical="center"/>
    </xf>
    <xf numFmtId="4" fontId="25" fillId="2" borderId="32" xfId="0" applyNumberFormat="1" applyFont="1" applyFill="1" applyBorder="1" applyAlignment="1" applyProtection="1">
      <alignment horizontal="center" vertical="center" wrapText="1"/>
      <protection locked="0"/>
    </xf>
    <xf numFmtId="4" fontId="25" fillId="8" borderId="32" xfId="0" applyNumberFormat="1" applyFont="1" applyFill="1" applyBorder="1" applyAlignment="1" applyProtection="1">
      <alignment horizontal="center" vertical="center" wrapText="1"/>
      <protection hidden="1"/>
    </xf>
    <xf numFmtId="4" fontId="25" fillId="8" borderId="39" xfId="0" applyNumberFormat="1" applyFont="1" applyFill="1" applyBorder="1" applyAlignment="1" applyProtection="1">
      <alignment horizontal="center" vertical="center" wrapText="1"/>
      <protection hidden="1"/>
    </xf>
    <xf numFmtId="0" fontId="25" fillId="8" borderId="32" xfId="0" applyFont="1" applyFill="1" applyBorder="1" applyAlignment="1">
      <alignment vertical="center"/>
    </xf>
    <xf numFmtId="0" fontId="25" fillId="8" borderId="32" xfId="0" applyFont="1" applyFill="1" applyBorder="1" applyAlignment="1" applyProtection="1">
      <alignment vertical="center"/>
      <protection hidden="1"/>
    </xf>
    <xf numFmtId="0" fontId="24" fillId="8" borderId="40" xfId="0" applyFont="1" applyFill="1" applyBorder="1" applyAlignment="1" applyProtection="1">
      <alignment horizontal="center" vertical="center"/>
      <protection hidden="1"/>
    </xf>
    <xf numFmtId="0" fontId="25" fillId="8" borderId="41" xfId="0" applyFont="1" applyFill="1" applyBorder="1" applyAlignment="1" applyProtection="1">
      <alignment vertical="center"/>
      <protection hidden="1"/>
    </xf>
    <xf numFmtId="4" fontId="25" fillId="2" borderId="41" xfId="0" applyNumberFormat="1" applyFont="1" applyFill="1" applyBorder="1" applyAlignment="1" applyProtection="1">
      <alignment horizontal="center" vertical="center" wrapText="1"/>
      <protection locked="0"/>
    </xf>
    <xf numFmtId="4" fontId="25" fillId="8" borderId="41" xfId="0" applyNumberFormat="1" applyFont="1" applyFill="1" applyBorder="1" applyAlignment="1" applyProtection="1">
      <alignment horizontal="center" vertical="center" wrapText="1"/>
      <protection hidden="1"/>
    </xf>
    <xf numFmtId="4" fontId="25" fillId="8" borderId="42" xfId="0" applyNumberFormat="1" applyFont="1" applyFill="1" applyBorder="1" applyAlignment="1" applyProtection="1">
      <alignment horizontal="center" vertical="center" wrapText="1"/>
      <protection hidden="1"/>
    </xf>
    <xf numFmtId="0" fontId="25" fillId="8" borderId="33" xfId="0" applyFont="1" applyFill="1" applyBorder="1" applyAlignment="1" applyProtection="1">
      <alignment vertical="center"/>
      <protection hidden="1"/>
    </xf>
    <xf numFmtId="0" fontId="24" fillId="8" borderId="34" xfId="0" applyFont="1" applyFill="1" applyBorder="1" applyAlignment="1" applyProtection="1">
      <alignment vertical="center"/>
      <protection hidden="1"/>
    </xf>
    <xf numFmtId="4" fontId="25" fillId="8" borderId="53" xfId="0" applyNumberFormat="1" applyFont="1" applyFill="1" applyBorder="1" applyAlignment="1" applyProtection="1">
      <alignment horizontal="center" vertical="center"/>
      <protection hidden="1"/>
    </xf>
    <xf numFmtId="0" fontId="25" fillId="8" borderId="53" xfId="0" applyFont="1" applyFill="1" applyBorder="1" applyAlignment="1" applyProtection="1">
      <alignment horizontal="center" vertical="center"/>
      <protection hidden="1"/>
    </xf>
    <xf numFmtId="0" fontId="24" fillId="8" borderId="43" xfId="0" applyFont="1" applyFill="1" applyBorder="1" applyAlignment="1" applyProtection="1">
      <alignment vertical="center" wrapText="1"/>
      <protection hidden="1"/>
    </xf>
    <xf numFmtId="0" fontId="24" fillId="8" borderId="46" xfId="0" applyFont="1" applyFill="1" applyBorder="1" applyAlignment="1" applyProtection="1">
      <alignment vertical="center" wrapText="1"/>
      <protection hidden="1"/>
    </xf>
    <xf numFmtId="0" fontId="25" fillId="8" borderId="0" xfId="0" applyFont="1" applyFill="1" applyAlignment="1" applyProtection="1">
      <alignment vertical="center"/>
      <protection hidden="1"/>
    </xf>
    <xf numFmtId="0" fontId="24" fillId="8" borderId="49" xfId="0" applyFont="1" applyFill="1" applyBorder="1" applyAlignment="1" applyProtection="1">
      <alignment vertical="center" wrapText="1"/>
      <protection hidden="1"/>
    </xf>
    <xf numFmtId="0" fontId="24" fillId="8" borderId="50" xfId="0" applyFont="1" applyFill="1" applyBorder="1" applyAlignment="1" applyProtection="1">
      <alignment vertical="center" wrapText="1"/>
      <protection hidden="1"/>
    </xf>
    <xf numFmtId="0" fontId="24" fillId="8" borderId="51" xfId="0" applyFont="1" applyFill="1" applyBorder="1" applyAlignment="1" applyProtection="1">
      <alignment vertical="center" wrapText="1"/>
      <protection hidden="1"/>
    </xf>
    <xf numFmtId="0" fontId="27" fillId="8" borderId="0" xfId="0" applyFont="1" applyFill="1" applyAlignment="1" applyProtection="1">
      <alignment horizontal="center" vertical="center"/>
      <protection hidden="1"/>
    </xf>
    <xf numFmtId="0" fontId="28" fillId="8" borderId="0" xfId="0" applyFont="1" applyFill="1" applyAlignment="1" applyProtection="1">
      <alignment horizontal="center" vertical="center" wrapText="1"/>
      <protection hidden="1"/>
    </xf>
    <xf numFmtId="0" fontId="24" fillId="8" borderId="31" xfId="0" applyFont="1" applyFill="1" applyBorder="1" applyAlignment="1" applyProtection="1">
      <alignment horizontal="left" vertical="center"/>
      <protection hidden="1"/>
    </xf>
    <xf numFmtId="0" fontId="24" fillId="8" borderId="31" xfId="0" applyFont="1" applyFill="1" applyBorder="1" applyAlignment="1" applyProtection="1">
      <alignment horizontal="left" vertical="center" wrapText="1"/>
      <protection hidden="1"/>
    </xf>
    <xf numFmtId="4" fontId="24" fillId="3" borderId="31" xfId="0" applyNumberFormat="1" applyFont="1" applyFill="1" applyBorder="1" applyAlignment="1" applyProtection="1">
      <alignment horizontal="left" vertical="center" wrapText="1"/>
      <protection hidden="1"/>
    </xf>
    <xf numFmtId="4" fontId="24" fillId="8" borderId="31" xfId="0" applyNumberFormat="1" applyFont="1" applyFill="1" applyBorder="1" applyAlignment="1" applyProtection="1">
      <alignment horizontal="left" vertical="center" wrapText="1"/>
      <protection hidden="1"/>
    </xf>
    <xf numFmtId="0" fontId="26" fillId="8" borderId="0" xfId="0" applyFont="1" applyFill="1" applyAlignment="1" applyProtection="1">
      <alignment horizontal="right"/>
      <protection hidden="1"/>
    </xf>
    <xf numFmtId="0" fontId="24" fillId="2" borderId="0" xfId="0" applyFont="1" applyFill="1" applyProtection="1">
      <protection locked="0"/>
    </xf>
    <xf numFmtId="14" fontId="29" fillId="2" borderId="0" xfId="0" applyNumberFormat="1" applyFont="1" applyFill="1" applyProtection="1">
      <protection locked="0"/>
    </xf>
    <xf numFmtId="0" fontId="25" fillId="8" borderId="54" xfId="0" applyFont="1" applyFill="1" applyBorder="1" applyAlignment="1" applyProtection="1">
      <alignment vertical="center"/>
      <protection hidden="1"/>
    </xf>
    <xf numFmtId="164" fontId="25" fillId="8" borderId="55" xfId="0" applyNumberFormat="1" applyFont="1" applyFill="1" applyBorder="1" applyAlignment="1" applyProtection="1">
      <alignment horizontal="center" vertical="center"/>
      <protection hidden="1"/>
    </xf>
    <xf numFmtId="0" fontId="25" fillId="8" borderId="56" xfId="0" applyFont="1" applyFill="1" applyBorder="1" applyAlignment="1" applyProtection="1">
      <alignment vertical="center"/>
      <protection hidden="1"/>
    </xf>
    <xf numFmtId="164" fontId="25" fillId="8" borderId="57" xfId="0" applyNumberFormat="1" applyFont="1" applyFill="1" applyBorder="1" applyAlignment="1" applyProtection="1">
      <alignment horizontal="center" vertical="center"/>
      <protection hidden="1"/>
    </xf>
    <xf numFmtId="0" fontId="25" fillId="8" borderId="58" xfId="0" applyFont="1" applyFill="1" applyBorder="1" applyAlignment="1" applyProtection="1">
      <alignment vertical="center"/>
      <protection hidden="1"/>
    </xf>
    <xf numFmtId="164" fontId="25" fillId="8" borderId="59" xfId="0" applyNumberFormat="1" applyFont="1" applyFill="1" applyBorder="1" applyAlignment="1" applyProtection="1">
      <alignment horizontal="center" vertical="center"/>
      <protection hidden="1"/>
    </xf>
    <xf numFmtId="0" fontId="24" fillId="8" borderId="0" xfId="0" applyFont="1" applyFill="1" applyAlignment="1" applyProtection="1">
      <alignment vertical="center"/>
      <protection hidden="1"/>
    </xf>
    <xf numFmtId="0" fontId="30" fillId="8" borderId="0" xfId="0" applyFont="1" applyFill="1" applyAlignment="1" applyProtection="1">
      <alignment vertical="center"/>
      <protection hidden="1"/>
    </xf>
    <xf numFmtId="0" fontId="24" fillId="0" borderId="9" xfId="0" applyFont="1" applyBorder="1" applyAlignment="1">
      <alignment horizontal="left" vertical="center" wrapText="1"/>
    </xf>
    <xf numFmtId="0" fontId="24" fillId="0" borderId="23" xfId="0" applyFont="1" applyBorder="1" applyAlignment="1">
      <alignment horizontal="left" vertical="center" wrapText="1"/>
    </xf>
    <xf numFmtId="0" fontId="0" fillId="8" borderId="0" xfId="0" applyFill="1" applyBorder="1" applyAlignment="1" applyProtection="1">
      <alignment vertical="center"/>
      <protection hidden="1"/>
    </xf>
    <xf numFmtId="0" fontId="19" fillId="6" borderId="0" xfId="0" applyFont="1" applyFill="1" applyBorder="1" applyAlignment="1" applyProtection="1">
      <alignment horizontal="center" vertical="center" wrapText="1"/>
      <protection hidden="1"/>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165" fontId="24" fillId="8" borderId="63" xfId="0" applyNumberFormat="1" applyFont="1" applyFill="1" applyBorder="1" applyAlignment="1" applyProtection="1">
      <alignment vertical="center" wrapText="1"/>
      <protection hidden="1"/>
    </xf>
    <xf numFmtId="0" fontId="24" fillId="0" borderId="64" xfId="0" applyFont="1" applyBorder="1" applyAlignment="1">
      <alignment horizontal="left" vertical="center" wrapText="1"/>
    </xf>
    <xf numFmtId="165" fontId="24" fillId="8" borderId="65" xfId="0" applyNumberFormat="1" applyFont="1" applyFill="1" applyBorder="1" applyAlignment="1" applyProtection="1">
      <alignment vertical="center"/>
      <protection hidden="1"/>
    </xf>
    <xf numFmtId="0" fontId="24" fillId="0" borderId="58" xfId="0" applyFont="1" applyBorder="1" applyAlignment="1">
      <alignment horizontal="left" vertical="center" wrapText="1"/>
    </xf>
    <xf numFmtId="0" fontId="24" fillId="0" borderId="66" xfId="0" applyFont="1" applyBorder="1" applyAlignment="1">
      <alignment horizontal="left" vertical="center" wrapText="1"/>
    </xf>
    <xf numFmtId="0" fontId="24" fillId="0" borderId="67" xfId="0" applyFont="1" applyBorder="1" applyAlignment="1">
      <alignment horizontal="left" vertical="center" wrapText="1"/>
    </xf>
    <xf numFmtId="165" fontId="24" fillId="8" borderId="59" xfId="0" applyNumberFormat="1" applyFont="1" applyFill="1" applyBorder="1" applyAlignment="1" applyProtection="1">
      <alignment vertical="center"/>
      <protection hidden="1"/>
    </xf>
    <xf numFmtId="4" fontId="24" fillId="8" borderId="54" xfId="0" applyNumberFormat="1" applyFont="1" applyFill="1" applyBorder="1" applyAlignment="1" applyProtection="1">
      <alignment horizontal="left" vertical="center"/>
      <protection hidden="1"/>
    </xf>
    <xf numFmtId="4" fontId="24" fillId="8" borderId="68" xfId="0" applyNumberFormat="1" applyFont="1" applyFill="1" applyBorder="1" applyAlignment="1" applyProtection="1">
      <alignment horizontal="left" vertical="center"/>
      <protection hidden="1"/>
    </xf>
    <xf numFmtId="4" fontId="24" fillId="8" borderId="55" xfId="0" applyNumberFormat="1" applyFont="1" applyFill="1" applyBorder="1" applyAlignment="1" applyProtection="1">
      <alignment horizontal="left" vertical="center"/>
      <protection hidden="1"/>
    </xf>
    <xf numFmtId="0" fontId="28" fillId="2" borderId="56"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57" xfId="0" applyFont="1" applyFill="1" applyBorder="1" applyAlignment="1" applyProtection="1">
      <alignment horizontal="left" vertical="top" wrapText="1"/>
      <protection locked="0"/>
    </xf>
    <xf numFmtId="0" fontId="28" fillId="2" borderId="58" xfId="0" applyFont="1" applyFill="1" applyBorder="1" applyAlignment="1" applyProtection="1">
      <alignment horizontal="left" vertical="top" wrapText="1"/>
      <protection locked="0"/>
    </xf>
    <xf numFmtId="0" fontId="28" fillId="2" borderId="66" xfId="0" applyFont="1" applyFill="1" applyBorder="1" applyAlignment="1" applyProtection="1">
      <alignment horizontal="left" vertical="top" wrapText="1"/>
      <protection locked="0"/>
    </xf>
    <xf numFmtId="0" fontId="28" fillId="2" borderId="59" xfId="0" applyFont="1" applyFill="1" applyBorder="1" applyAlignment="1" applyProtection="1">
      <alignment horizontal="left" vertical="top" wrapText="1"/>
      <protection locked="0"/>
    </xf>
  </cellXfs>
  <cellStyles count="1">
    <cellStyle name="Normální" xfId="0" builtinId="0"/>
  </cellStyles>
  <dxfs count="16">
    <dxf>
      <font>
        <color theme="1"/>
      </font>
      <fill>
        <patternFill>
          <bgColor theme="5" tint="0.39994506668294322"/>
        </patternFill>
      </fill>
      <border>
        <left style="thin">
          <color auto="1"/>
        </left>
        <right style="thin">
          <color auto="1"/>
        </right>
        <top style="thin">
          <color auto="1"/>
        </top>
        <bottom style="thin">
          <color auto="1"/>
        </bottom>
        <vertical/>
        <horizontal/>
      </border>
    </dxf>
    <dxf>
      <font>
        <color theme="1"/>
      </font>
      <fill>
        <patternFill>
          <bgColor theme="7" tint="0.39994506668294322"/>
        </patternFill>
      </fill>
      <border>
        <left style="thin">
          <color auto="1"/>
        </left>
        <right style="thin">
          <color auto="1"/>
        </right>
        <top style="thin">
          <color auto="1"/>
        </top>
        <bottom style="thin">
          <color auto="1"/>
        </bottom>
        <vertical/>
        <horizontal/>
      </border>
    </dxf>
    <dxf>
      <font>
        <color theme="1"/>
      </font>
      <fill>
        <patternFill>
          <bgColor theme="8" tint="0.39994506668294322"/>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b/>
        <i val="0"/>
        <color theme="1"/>
      </font>
      <fill>
        <patternFill>
          <bgColor theme="5" tint="0.3999450666829432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bottom/>
      </border>
    </dxf>
    <dxf>
      <font>
        <color theme="0"/>
      </font>
      <fill>
        <patternFill>
          <bgColor theme="0"/>
        </patternFill>
      </fill>
      <border>
        <left/>
        <right/>
        <top/>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5" tint="0.79998168889431442"/>
        </patternFill>
      </fill>
    </dxf>
    <dxf>
      <font>
        <b/>
        <i val="0"/>
        <color theme="1"/>
      </font>
      <fill>
        <patternFill>
          <bgColor theme="5" tint="0.79998168889431442"/>
        </patternFill>
      </fill>
    </dxf>
    <dxf>
      <font>
        <b/>
        <i val="0"/>
        <color theme="1"/>
      </font>
      <fill>
        <patternFill>
          <bgColor theme="5" tint="0.79998168889431442"/>
        </patternFill>
      </fill>
    </dxf>
    <dxf>
      <font>
        <b/>
        <i val="0"/>
      </font>
      <fill>
        <patternFill>
          <bgColor rgb="FFF77187"/>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0000"/>
      <color rgb="FFF77187"/>
      <color rgb="FFFFFFFF"/>
      <color rgb="FFE8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16" fmlaLink="zdroj!$C$1" fmlaRange="zdroj!$D$1:$D$7" noThreeD="1" sel="1" val="0"/>
</file>

<file path=xl/ctrlProps/ctrlProp2.xml><?xml version="1.0" encoding="utf-8"?>
<formControlPr xmlns="http://schemas.microsoft.com/office/spreadsheetml/2009/9/main" objectType="Drop" dropStyle="combo" dx="16" fmlaLink="zdroj!$C$10" fmlaRange="zdroj!$D$10:$D$20" noThreeD="1" sel="6" val="3"/>
</file>

<file path=xl/ctrlProps/ctrlProp3.xml><?xml version="1.0" encoding="utf-8"?>
<formControlPr xmlns="http://schemas.microsoft.com/office/spreadsheetml/2009/9/main" objectType="Drop" dropStyle="combo" dx="16" fmlaLink="zdroj!$B$24" fmlaRange="zdroj!$D$23:$D$27" noThreeD="1" sel="1" val="0"/>
</file>

<file path=xl/ctrlProps/ctrlProp4.xml><?xml version="1.0" encoding="utf-8"?>
<formControlPr xmlns="http://schemas.microsoft.com/office/spreadsheetml/2009/9/main" objectType="Drop" dropStyle="combo" dx="16" fmlaLink="zdroj!$L$47" fmlaRange="zdroj!$M$47:$M$50" noThreeD="1" sel="1" val="0"/>
</file>

<file path=xl/ctrlProps/ctrlProp5.xml><?xml version="1.0" encoding="utf-8"?>
<formControlPr xmlns="http://schemas.microsoft.com/office/spreadsheetml/2009/9/main" objectType="Drop" dropStyle="combo" dx="16" fmlaLink="zdroj!$P$2" fmlaRange="zdroj!$Q$2:$Q$24" noThreeD="1" sel="1" val="0"/>
</file>

<file path=xl/ctrlProps/ctrlProp6.xml><?xml version="1.0" encoding="utf-8"?>
<formControlPr xmlns="http://schemas.microsoft.com/office/spreadsheetml/2009/9/main" objectType="Drop" dropLines="4" dropStyle="combo" dx="16" fmlaLink="zdroj!$P$26" fmlaRange="zdroj!$Q$26:$Q$29" noThreeD="1" sel="4" val="0"/>
</file>

<file path=xl/ctrlProps/ctrlProp7.xml><?xml version="1.0" encoding="utf-8"?>
<formControlPr xmlns="http://schemas.microsoft.com/office/spreadsheetml/2009/9/main" objectType="Drop" dropStyle="combo" dx="16" fmlaLink="zdroj!$P$35" fmlaRange="zdroj!$Q$35:$Q$3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6804</xdr:colOff>
          <xdr:row>6</xdr:row>
          <xdr:rowOff>107527</xdr:rowOff>
        </xdr:from>
        <xdr:to>
          <xdr:col>6</xdr:col>
          <xdr:colOff>9525</xdr:colOff>
          <xdr:row>14</xdr:row>
          <xdr:rowOff>9525</xdr:rowOff>
        </xdr:to>
        <xdr:grpSp>
          <xdr:nvGrpSpPr>
            <xdr:cNvPr id="7" name="Skupina 6">
              <a:extLst>
                <a:ext uri="{FF2B5EF4-FFF2-40B4-BE49-F238E27FC236}">
                  <a16:creationId xmlns:a16="http://schemas.microsoft.com/office/drawing/2014/main" id="{00000000-0008-0000-0000-000007000000}"/>
                </a:ext>
              </a:extLst>
            </xdr:cNvPr>
            <xdr:cNvGrpSpPr/>
          </xdr:nvGrpSpPr>
          <xdr:grpSpPr>
            <a:xfrm>
              <a:off x="2086429" y="1710902"/>
              <a:ext cx="6146346" cy="1679998"/>
              <a:chOff x="2085975" y="1707728"/>
              <a:chExt cx="5079062" cy="1692694"/>
            </a:xfrm>
          </xdr:grpSpPr>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2090109" y="1707728"/>
                <a:ext cx="5071670" cy="243631"/>
              </a:xfrm>
              <a:prstGeom prst="rect">
                <a:avLst/>
              </a:prstGeom>
              <a:noFill/>
              <a:ln>
                <a:noFill/>
              </a:ln>
              <a:extLst>
                <a:ext uri="{91240B29-F687-4F45-9708-019B960494DF}">
                  <a14:hiddenLine w="9525">
                    <a:noFill/>
                    <a:miter lim="800000"/>
                    <a:headEnd/>
                    <a:tailEnd/>
                  </a14:hiddenLine>
                </a:ext>
              </a:extLst>
            </xdr:spPr>
          </xdr:sp>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2086851" y="1945332"/>
                <a:ext cx="5078186" cy="247204"/>
              </a:xfrm>
              <a:prstGeom prst="rect">
                <a:avLst/>
              </a:prstGeom>
              <a:noFill/>
              <a:ln>
                <a:noFill/>
              </a:ln>
              <a:extLst>
                <a:ext uri="{91240B29-F687-4F45-9708-019B960494DF}">
                  <a14:hiddenLine w="9525">
                    <a:noFill/>
                    <a:miter lim="800000"/>
                    <a:headEnd/>
                    <a:tailEnd/>
                  </a14:hiddenLine>
                </a:ext>
              </a:extLst>
            </xdr:spPr>
          </xdr:sp>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086851" y="2186510"/>
                <a:ext cx="5078186" cy="244800"/>
              </a:xfrm>
              <a:prstGeom prst="rect">
                <a:avLst/>
              </a:prstGeom>
              <a:noFill/>
              <a:ln>
                <a:noFill/>
              </a:ln>
              <a:extLst>
                <a:ext uri="{91240B29-F687-4F45-9708-019B960494DF}">
                  <a14:hiddenLine w="9525">
                    <a:noFill/>
                    <a:miter lim="800000"/>
                    <a:headEnd/>
                    <a:tailEnd/>
                  </a14:hiddenLine>
                </a:ext>
              </a:extLst>
            </xdr:spPr>
          </xdr:sp>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2086851" y="2425284"/>
                <a:ext cx="5078186" cy="244800"/>
              </a:xfrm>
              <a:prstGeom prst="rect">
                <a:avLst/>
              </a:prstGeom>
              <a:noFill/>
              <a:ln>
                <a:noFill/>
              </a:ln>
              <a:extLst>
                <a:ext uri="{91240B29-F687-4F45-9708-019B960494DF}">
                  <a14:hiddenLine w="9525">
                    <a:noFill/>
                    <a:miter lim="800000"/>
                    <a:headEnd/>
                    <a:tailEnd/>
                  </a14:hiddenLine>
                </a:ext>
              </a:extLst>
            </xdr:spPr>
          </xdr:sp>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2086851" y="2664059"/>
                <a:ext cx="5078186" cy="249307"/>
              </a:xfrm>
              <a:prstGeom prst="rect">
                <a:avLst/>
              </a:prstGeom>
              <a:noFill/>
              <a:ln>
                <a:noFill/>
              </a:ln>
              <a:extLst>
                <a:ext uri="{91240B29-F687-4F45-9708-019B960494DF}">
                  <a14:hiddenLine w="9525">
                    <a:noFill/>
                    <a:miter lim="800000"/>
                    <a:headEnd/>
                    <a:tailEnd/>
                  </a14:hiddenLine>
                </a:ext>
              </a:extLst>
            </xdr:spPr>
          </xdr:sp>
          <xdr:sp macro="" textlink="">
            <xdr:nvSpPr>
              <xdr:cNvPr id="1068" name="Drop Dow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085975" y="2905124"/>
                <a:ext cx="5076825" cy="247650"/>
              </a:xfrm>
              <a:prstGeom prst="rect">
                <a:avLst/>
              </a:prstGeom>
              <a:noFill/>
              <a:ln>
                <a:noFill/>
              </a:ln>
              <a:extLst>
                <a:ext uri="{91240B29-F687-4F45-9708-019B960494DF}">
                  <a14:hiddenLine w="9525">
                    <a:noFill/>
                    <a:miter lim="800000"/>
                    <a:headEnd/>
                    <a:tailEnd/>
                  </a14:hiddenLine>
                </a:ext>
              </a:extLst>
            </xdr:spPr>
          </xdr:sp>
          <xdr:sp macro="" textlink="">
            <xdr:nvSpPr>
              <xdr:cNvPr id="1069" name="Drop Dow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2087531" y="3151986"/>
                <a:ext cx="5076825" cy="24843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2</xdr:col>
      <xdr:colOff>10255</xdr:colOff>
      <xdr:row>7</xdr:row>
      <xdr:rowOff>9114</xdr:rowOff>
    </xdr:from>
    <xdr:to>
      <xdr:col>6</xdr:col>
      <xdr:colOff>9525</xdr:colOff>
      <xdr:row>14</xdr:row>
      <xdr:rowOff>4330</xdr:rowOff>
    </xdr:to>
    <xdr:sp macro="" textlink="">
      <xdr:nvSpPr>
        <xdr:cNvPr id="2" name="Obdélník 1">
          <a:extLst>
            <a:ext uri="{FF2B5EF4-FFF2-40B4-BE49-F238E27FC236}">
              <a16:creationId xmlns:a16="http://schemas.microsoft.com/office/drawing/2014/main" id="{00000000-0008-0000-0000-000002000000}"/>
            </a:ext>
          </a:extLst>
        </xdr:cNvPr>
        <xdr:cNvSpPr/>
      </xdr:nvSpPr>
      <xdr:spPr>
        <a:xfrm>
          <a:off x="2086705" y="1714089"/>
          <a:ext cx="6914420" cy="1662091"/>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C00000"/>
    <pageSetUpPr fitToPage="1"/>
  </sheetPr>
  <dimension ref="B1:R75"/>
  <sheetViews>
    <sheetView tabSelected="1" zoomScale="60" zoomScaleNormal="60" workbookViewId="0">
      <selection activeCell="E71" sqref="E71"/>
    </sheetView>
  </sheetViews>
  <sheetFormatPr defaultColWidth="9.140625" defaultRowHeight="15" x14ac:dyDescent="0.25"/>
  <cols>
    <col min="1" max="1" width="3.5703125" style="48" customWidth="1"/>
    <col min="2" max="2" width="27.5703125" style="48" customWidth="1"/>
    <col min="3" max="3" width="36.42578125" style="48" bestFit="1" customWidth="1"/>
    <col min="4" max="4" width="20.140625" style="48" customWidth="1"/>
    <col min="5" max="5" width="16.28515625" style="48" customWidth="1"/>
    <col min="6" max="6" width="19.28515625" style="48" customWidth="1"/>
    <col min="7" max="7" width="28.42578125" style="48" customWidth="1"/>
    <col min="8" max="8" width="22.5703125" style="48" customWidth="1"/>
    <col min="9" max="9" width="29.42578125" style="48" customWidth="1"/>
    <col min="10" max="10" width="33.85546875" style="48" customWidth="1"/>
    <col min="11" max="11" width="9.140625" style="48" customWidth="1"/>
    <col min="12" max="12" width="12" style="48" customWidth="1"/>
    <col min="13" max="16384" width="9.140625" style="48"/>
  </cols>
  <sheetData>
    <row r="1" spans="2:12" ht="12.75" customHeight="1" x14ac:dyDescent="0.25"/>
    <row r="2" spans="2:12" ht="36" x14ac:dyDescent="0.25">
      <c r="B2" s="140" t="s">
        <v>0</v>
      </c>
      <c r="C2" s="140"/>
      <c r="D2" s="140"/>
      <c r="E2" s="140"/>
      <c r="F2" s="49"/>
      <c r="G2" s="49"/>
      <c r="H2" s="49"/>
      <c r="I2" s="49"/>
      <c r="J2" s="49"/>
      <c r="K2" s="49"/>
      <c r="L2" s="49"/>
    </row>
    <row r="3" spans="2:12" ht="33" customHeight="1" x14ac:dyDescent="0.25">
      <c r="B3" s="50"/>
      <c r="C3" s="51" t="s">
        <v>243</v>
      </c>
      <c r="D3" s="141" t="s">
        <v>120</v>
      </c>
      <c r="E3" s="141"/>
      <c r="F3" s="141"/>
      <c r="G3" s="52"/>
      <c r="H3" s="52"/>
      <c r="I3" s="50"/>
      <c r="J3" s="50"/>
      <c r="K3" s="50"/>
      <c r="L3" s="50"/>
    </row>
    <row r="4" spans="2:12" ht="4.5" customHeight="1" thickBot="1" x14ac:dyDescent="0.3">
      <c r="B4" s="53"/>
      <c r="C4" s="54"/>
      <c r="D4" s="54"/>
      <c r="E4" s="52"/>
      <c r="F4" s="52"/>
      <c r="G4" s="52"/>
      <c r="H4" s="52"/>
      <c r="K4" s="55"/>
    </row>
    <row r="5" spans="2:12" ht="20.100000000000001" customHeight="1" x14ac:dyDescent="0.25">
      <c r="B5" s="134" t="s">
        <v>1</v>
      </c>
      <c r="C5" s="106"/>
      <c r="D5" s="106"/>
      <c r="E5" s="106"/>
      <c r="F5" s="107"/>
      <c r="H5" s="54"/>
      <c r="I5" s="102"/>
      <c r="J5" s="102"/>
    </row>
    <row r="6" spans="2:12" ht="20.100000000000001" customHeight="1" thickBot="1" x14ac:dyDescent="0.3">
      <c r="B6" s="135" t="s">
        <v>2</v>
      </c>
      <c r="C6" s="108"/>
      <c r="D6" s="108"/>
      <c r="E6" s="108"/>
      <c r="F6" s="109"/>
      <c r="G6" s="54"/>
      <c r="I6" s="102"/>
      <c r="J6" s="102"/>
      <c r="K6" s="56"/>
      <c r="L6" s="56"/>
    </row>
    <row r="7" spans="2:12" ht="9" customHeight="1" thickBot="1" x14ac:dyDescent="0.3">
      <c r="B7" s="136"/>
      <c r="H7" s="52"/>
      <c r="I7" s="52"/>
      <c r="J7" s="52"/>
      <c r="K7" s="55"/>
    </row>
    <row r="8" spans="2:12" ht="18.75" customHeight="1" x14ac:dyDescent="0.25">
      <c r="B8" s="137" t="s">
        <v>77</v>
      </c>
      <c r="H8" s="52"/>
      <c r="I8" s="103"/>
      <c r="J8" s="103"/>
      <c r="K8" s="52"/>
      <c r="L8" s="52"/>
    </row>
    <row r="9" spans="2:12" ht="18.75" customHeight="1" x14ac:dyDescent="0.25">
      <c r="B9" s="138" t="s">
        <v>4</v>
      </c>
    </row>
    <row r="10" spans="2:12" ht="18.75" customHeight="1" x14ac:dyDescent="0.25">
      <c r="B10" s="138" t="s">
        <v>11</v>
      </c>
    </row>
    <row r="11" spans="2:12" ht="18.75" customHeight="1" x14ac:dyDescent="0.25">
      <c r="B11" s="138" t="s">
        <v>123</v>
      </c>
      <c r="H11" s="48" t="str">
        <f>IF(zdroj!B58=TRUE,"Vyberte všechny Podopatření projektu na řádcích 72 a níže",IF(AND(zdroj!B58=FALSE,zdroj!Q74&gt;0),"Pozor na řádku 72 a níže vybráno více Podaktivit, které ale nejsou v buňce G11 zaškrtnuté",""))</f>
        <v/>
      </c>
    </row>
    <row r="12" spans="2:12" ht="18.75" customHeight="1" x14ac:dyDescent="0.25">
      <c r="B12" s="138" t="s">
        <v>65</v>
      </c>
    </row>
    <row r="13" spans="2:12" ht="18.75" customHeight="1" x14ac:dyDescent="0.25">
      <c r="B13" s="138" t="s">
        <v>122</v>
      </c>
    </row>
    <row r="14" spans="2:12" ht="18.75" customHeight="1" thickBot="1" x14ac:dyDescent="0.3">
      <c r="B14" s="139" t="s">
        <v>73</v>
      </c>
    </row>
    <row r="15" spans="2:12" ht="20.100000000000001" customHeight="1" x14ac:dyDescent="0.25">
      <c r="B15" s="57"/>
      <c r="C15" s="58"/>
      <c r="D15" s="58"/>
      <c r="E15" s="58"/>
      <c r="F15" s="58"/>
      <c r="G15" s="58"/>
    </row>
    <row r="16" spans="2:12" ht="20.100000000000001" customHeight="1" thickBot="1" x14ac:dyDescent="0.3">
      <c r="B16" s="59" t="s">
        <v>67</v>
      </c>
    </row>
    <row r="17" spans="2:12" ht="45" x14ac:dyDescent="0.25">
      <c r="B17" s="114"/>
      <c r="C17" s="115"/>
      <c r="D17" s="116" t="s">
        <v>157</v>
      </c>
      <c r="E17" s="116" t="s">
        <v>70</v>
      </c>
      <c r="F17" s="116" t="s">
        <v>158</v>
      </c>
      <c r="G17" s="116" t="s">
        <v>159</v>
      </c>
      <c r="H17" s="116" t="s">
        <v>69</v>
      </c>
      <c r="I17" s="117" t="s">
        <v>160</v>
      </c>
    </row>
    <row r="18" spans="2:12" x14ac:dyDescent="0.25">
      <c r="B18" s="118" t="s">
        <v>68</v>
      </c>
      <c r="C18" s="119" t="s">
        <v>266</v>
      </c>
      <c r="D18" s="120">
        <v>0</v>
      </c>
      <c r="E18" s="120">
        <v>21</v>
      </c>
      <c r="F18" s="121">
        <f>D18*(1+(E18/100))</f>
        <v>0</v>
      </c>
      <c r="G18" s="120">
        <v>0</v>
      </c>
      <c r="H18" s="121" t="str">
        <f>CHOOSE(zdroj!$P$26,G18*(1+(KR!E18/100)),D18*(E18/100)+G18,G18*(1+(KR!E18/100)),"vyber uznatelnost DPH")</f>
        <v>vyber uznatelnost DPH</v>
      </c>
      <c r="I18" s="122" t="str">
        <f>IFERROR(F18-H18,"zadej výdaje/uznatelnost DPH")</f>
        <v>zadej výdaje/uznatelnost DPH</v>
      </c>
    </row>
    <row r="19" spans="2:12" x14ac:dyDescent="0.25">
      <c r="B19" s="118"/>
      <c r="C19" s="123"/>
      <c r="D19" s="120">
        <v>0</v>
      </c>
      <c r="E19" s="120">
        <v>21</v>
      </c>
      <c r="F19" s="121">
        <f t="shared" ref="F19:F21" si="0">D19*(1+(E19/100))</f>
        <v>0</v>
      </c>
      <c r="G19" s="120">
        <v>0</v>
      </c>
      <c r="H19" s="121" t="str">
        <f>CHOOSE(zdroj!$P$26,G19*(1+(KR!E19/100)),D19*(E19/100)+G19,G19*(1+(KR!E19/100)),"vyber uznatelnost DPH")</f>
        <v>vyber uznatelnost DPH</v>
      </c>
      <c r="I19" s="122" t="str">
        <f t="shared" ref="I19:I21" si="1">IFERROR(F19-H19,"zadej výdaje/uznatelnost DPH")</f>
        <v>zadej výdaje/uznatelnost DPH</v>
      </c>
    </row>
    <row r="20" spans="2:12" x14ac:dyDescent="0.25">
      <c r="B20" s="118"/>
      <c r="C20" s="124"/>
      <c r="D20" s="120">
        <v>0</v>
      </c>
      <c r="E20" s="120">
        <v>21</v>
      </c>
      <c r="F20" s="121">
        <f t="shared" si="0"/>
        <v>0</v>
      </c>
      <c r="G20" s="120">
        <v>0</v>
      </c>
      <c r="H20" s="121" t="str">
        <f>CHOOSE(zdroj!$P$26,G20*(1+(KR!E20/100)),D20*(E20/100)+G20,G20*(1+(KR!E20/100)),"vyber uznatelnost DPH")</f>
        <v>vyber uznatelnost DPH</v>
      </c>
      <c r="I20" s="122" t="str">
        <f t="shared" si="1"/>
        <v>zadej výdaje/uznatelnost DPH</v>
      </c>
      <c r="J20" s="60"/>
      <c r="K20" s="60"/>
    </row>
    <row r="21" spans="2:12" ht="15.75" thickBot="1" x14ac:dyDescent="0.3">
      <c r="B21" s="125"/>
      <c r="C21" s="126"/>
      <c r="D21" s="127">
        <v>0</v>
      </c>
      <c r="E21" s="127">
        <v>21</v>
      </c>
      <c r="F21" s="128">
        <f t="shared" si="0"/>
        <v>0</v>
      </c>
      <c r="G21" s="127">
        <v>0</v>
      </c>
      <c r="H21" s="128" t="str">
        <f>CHOOSE(zdroj!$P$26,G21*(1+(KR!E21/100)),D21*(E21/100)+G21,G21*(1+(KR!E21/100)),"vyber uznatelnost DPH")</f>
        <v>vyber uznatelnost DPH</v>
      </c>
      <c r="I21" s="129" t="str">
        <f t="shared" si="1"/>
        <v>zadej výdaje/uznatelnost DPH</v>
      </c>
      <c r="J21" s="60"/>
      <c r="K21" s="60"/>
    </row>
    <row r="22" spans="2:12" ht="15.75" thickBot="1" x14ac:dyDescent="0.3">
      <c r="B22" s="130"/>
      <c r="C22" s="131" t="s">
        <v>71</v>
      </c>
      <c r="D22" s="132">
        <f t="shared" ref="D22" si="2">SUM(D18:D21)</f>
        <v>0</v>
      </c>
      <c r="E22" s="132"/>
      <c r="F22" s="132">
        <f>SUM(F18:F21)</f>
        <v>0</v>
      </c>
      <c r="G22" s="133"/>
      <c r="H22" s="132">
        <f>SUM(H18:H21)</f>
        <v>0</v>
      </c>
      <c r="I22" s="110" t="str">
        <f>IFERROR(I18+I19+I20+I21,"zadej výdaje/uznatelnost DPH")</f>
        <v>zadej výdaje/uznatelnost DPH</v>
      </c>
      <c r="J22" s="111" t="s">
        <v>79</v>
      </c>
      <c r="K22" s="60"/>
    </row>
    <row r="23" spans="2:12" x14ac:dyDescent="0.25">
      <c r="D23" s="60"/>
      <c r="E23" s="60"/>
      <c r="F23" s="60"/>
      <c r="G23" s="60"/>
      <c r="H23" s="60"/>
      <c r="I23" s="112" t="str">
        <f>IFERROR(I18+I20,"zadej výdaje/uznatelnost DPH")</f>
        <v>zadej výdaje/uznatelnost DPH</v>
      </c>
      <c r="J23" s="113" t="s">
        <v>78</v>
      </c>
      <c r="K23" s="60"/>
    </row>
    <row r="24" spans="2:12" ht="33.75" customHeight="1" x14ac:dyDescent="0.25">
      <c r="D24" s="104"/>
      <c r="E24" s="104"/>
      <c r="F24" s="104"/>
      <c r="G24" s="104"/>
      <c r="H24" s="58"/>
      <c r="I24" s="61">
        <f>IFERROR(I23*zdroj!P30,0)</f>
        <v>0</v>
      </c>
      <c r="J24" s="62" t="s">
        <v>207</v>
      </c>
      <c r="K24" s="80"/>
    </row>
    <row r="25" spans="2:12" ht="15.75" thickBot="1" x14ac:dyDescent="0.3">
      <c r="D25" s="60"/>
      <c r="E25" s="60"/>
      <c r="F25" s="60"/>
      <c r="G25" s="60"/>
      <c r="H25" s="60"/>
      <c r="I25" s="62">
        <f>CHOOSE(zdroj!P26,KR!I26,KR!I26,I26,0)</f>
        <v>0</v>
      </c>
      <c r="J25" s="62"/>
      <c r="K25" s="80"/>
    </row>
    <row r="26" spans="2:12" ht="33.75" customHeight="1" thickBot="1" x14ac:dyDescent="0.3">
      <c r="B26" s="142" t="s">
        <v>117</v>
      </c>
      <c r="C26" s="143" t="s">
        <v>118</v>
      </c>
      <c r="D26" s="144" t="s">
        <v>163</v>
      </c>
      <c r="E26" s="144"/>
      <c r="F26" s="144"/>
      <c r="G26" s="144"/>
      <c r="H26" s="144"/>
      <c r="I26" s="145" t="str">
        <f>IF(OR(J26&lt;=15000000,J26="zadej výdaje/uznatelnost DPH"),J26,15000000)</f>
        <v>zadej výdaje/uznatelnost DPH</v>
      </c>
      <c r="J26" s="63" t="str">
        <f>IFERROR(IF(OR(zdroj!P2=1,zdroj!P2=2,zdroj!P2=3,zdroj!P2=4,zdroj!P2=5,zdroj!P2=15,zdroj!P2=18,),zdroj!P32*KR!I23,0),"zadej výdaje/uznatelnost DPH")</f>
        <v>zadej výdaje/uznatelnost DPH</v>
      </c>
      <c r="K26" s="78"/>
      <c r="L26" s="79"/>
    </row>
    <row r="27" spans="2:12" ht="39.75" customHeight="1" thickBot="1" x14ac:dyDescent="0.3">
      <c r="B27" s="64" t="s">
        <v>117</v>
      </c>
      <c r="C27" s="65" t="s">
        <v>118</v>
      </c>
      <c r="D27" s="85">
        <v>0</v>
      </c>
      <c r="E27" s="86">
        <v>21</v>
      </c>
      <c r="F27" s="66">
        <f>D27*(1+(E27/100))</f>
        <v>0</v>
      </c>
      <c r="G27" s="85">
        <v>0</v>
      </c>
      <c r="H27" s="67" t="str">
        <f>CHOOSE(zdroj!$P$26,IF(zdroj!P40&gt;zdroj!P41,zdroj!P40-zdroj!P41+(G27*(1+(E27/100))),G27*(1+(KR!E27/100))),IF(zdroj!P40&gt;zdroj!P41,zdroj!P40-zdroj!P41+D27*(E27/100)+G27,D27*(KR!E27/100)+G27),IF(zdroj!P40&gt;zdroj!P41,zdroj!P40-zdroj!P41+G27*(1+(E27/100)),G27*(1+(KR!E27/100))),"vyber plátce DPH")</f>
        <v>vyber plátce DPH</v>
      </c>
      <c r="I27" s="68" t="str">
        <f>IFERROR(IF(zdroj!P40&gt;zdroj!P41,zdroj!P41,F27-H27),"zadej výdaje/uznatelnost DPH")</f>
        <v>zadej výdaje/uznatelnost DPH</v>
      </c>
      <c r="J27" s="78"/>
      <c r="K27" s="78"/>
      <c r="L27" s="79"/>
    </row>
    <row r="28" spans="2:12" ht="16.5" customHeight="1" thickBot="1" x14ac:dyDescent="0.3">
      <c r="D28" s="61">
        <f>CHOOSE(zdroj!P2,0,0,0,0,0,KR!D27,KR!D27,KR!D27,KR!D27,KR!D27,KR!D27,KR!D27,KR!D27,KR!D27,0,KR!D27,KR!D27,0,KR!D27,KR!D27,KR!D27,KR!D27,KR!D27)</f>
        <v>0</v>
      </c>
      <c r="E28" s="69"/>
      <c r="F28" s="69">
        <f>(D28)*(1+(E27/100))</f>
        <v>0</v>
      </c>
      <c r="G28" s="25"/>
      <c r="H28" s="69">
        <f>CHOOSE(zdroj!P2,0,0,0,0,0,KR!H27,KR!H27,KR!H27,KR!H27,KR!H27,KR!H27,KR!H27,KR!H27,KR!H27,0,KR!H27,KR!H27,0,0,KR!H27)</f>
        <v>0</v>
      </c>
      <c r="I28" s="69">
        <f>CHOOSE(zdroj!P2,0,0,0,0,0,KR!I27,KR!I27,KR!I27,KR!I27,KR!I27,KR!I27,KR!I27,KR!I27,KR!I27,0,KR!I27,KR!I27,0,0,KR!I27)</f>
        <v>0</v>
      </c>
      <c r="J28" s="79"/>
      <c r="K28" s="79"/>
      <c r="L28" s="79"/>
    </row>
    <row r="29" spans="2:12" ht="15.75" customHeight="1" thickBot="1" x14ac:dyDescent="0.3">
      <c r="B29" s="25">
        <f>IF(D29="zadej výdaje/DPH",0,D29)</f>
        <v>0</v>
      </c>
      <c r="C29" s="149" t="s">
        <v>156</v>
      </c>
      <c r="D29" s="150" t="str">
        <f>IFERROR(IF(ROUND(F22+I25+F28,0)=0,"zadej výdaje/DPH",ROUND(F22+I25+F28,0)),"zadej výdaje/DPH")</f>
        <v>zadej výdaje/DPH</v>
      </c>
      <c r="E29" s="58"/>
      <c r="F29" s="58"/>
      <c r="H29" s="70"/>
      <c r="I29" s="70"/>
      <c r="J29" s="79"/>
      <c r="K29" s="79"/>
      <c r="L29" s="79"/>
    </row>
    <row r="30" spans="2:12" x14ac:dyDescent="0.25">
      <c r="C30" s="151" t="s">
        <v>226</v>
      </c>
      <c r="D30" s="152" t="str">
        <f>IFERROR(IF(ROUND(I22+I26+I28,0)=0,"zadej výdaje/DPH",ROUND(I22+I26+I28,0)),"zadej výdaje/DPH")</f>
        <v>zadej výdaje/DPH</v>
      </c>
      <c r="E30" s="71"/>
      <c r="F30" s="58"/>
      <c r="G30" s="171" t="s">
        <v>119</v>
      </c>
      <c r="H30" s="172"/>
      <c r="I30" s="173"/>
    </row>
    <row r="31" spans="2:12" ht="15.75" thickBot="1" x14ac:dyDescent="0.3">
      <c r="C31" s="153" t="s">
        <v>227</v>
      </c>
      <c r="D31" s="154" t="str">
        <f>IFERROR(ROUND(D29-D30,0),"zadej výdaje/DPH")</f>
        <v>zadej výdaje/DPH</v>
      </c>
      <c r="E31" s="58"/>
      <c r="F31" s="58"/>
      <c r="G31" s="174" t="s">
        <v>87</v>
      </c>
      <c r="H31" s="175"/>
      <c r="I31" s="176"/>
    </row>
    <row r="32" spans="2:12" x14ac:dyDescent="0.25">
      <c r="D32" s="58"/>
      <c r="E32" s="58"/>
      <c r="F32" s="58"/>
      <c r="G32" s="174"/>
      <c r="H32" s="175"/>
      <c r="I32" s="176"/>
    </row>
    <row r="33" spans="2:18" x14ac:dyDescent="0.25">
      <c r="G33" s="174"/>
      <c r="H33" s="175"/>
      <c r="I33" s="176"/>
    </row>
    <row r="34" spans="2:18" x14ac:dyDescent="0.25">
      <c r="G34" s="174"/>
      <c r="H34" s="175"/>
      <c r="I34" s="176"/>
    </row>
    <row r="35" spans="2:18" ht="24" customHeight="1" x14ac:dyDescent="0.25">
      <c r="G35" s="174"/>
      <c r="H35" s="175"/>
      <c r="I35" s="176"/>
    </row>
    <row r="36" spans="2:18" ht="24" customHeight="1" thickBot="1" x14ac:dyDescent="0.35">
      <c r="C36" s="146" t="s">
        <v>161</v>
      </c>
      <c r="D36" s="147" t="s">
        <v>162</v>
      </c>
      <c r="E36" s="148">
        <f ca="1">TODAY()</f>
        <v>45378</v>
      </c>
      <c r="G36" s="177"/>
      <c r="H36" s="178"/>
      <c r="I36" s="179"/>
    </row>
    <row r="37" spans="2:18" ht="15" customHeight="1" x14ac:dyDescent="0.25"/>
    <row r="38" spans="2:18" ht="35.1" customHeight="1" x14ac:dyDescent="0.25">
      <c r="G38" s="72"/>
      <c r="H38" s="72"/>
      <c r="I38" s="72"/>
    </row>
    <row r="39" spans="2:18" ht="15.75" x14ac:dyDescent="0.25">
      <c r="G39" s="73"/>
      <c r="H39" s="73"/>
      <c r="I39" s="73"/>
    </row>
    <row r="40" spans="2:18" ht="24" thickBot="1" x14ac:dyDescent="0.3">
      <c r="C40" s="156" t="s">
        <v>228</v>
      </c>
      <c r="D40" s="136"/>
      <c r="E40" s="136"/>
      <c r="F40" s="136"/>
    </row>
    <row r="41" spans="2:18" ht="34.5" customHeight="1" x14ac:dyDescent="0.25">
      <c r="B41" s="159"/>
      <c r="C41" s="161" t="s">
        <v>231</v>
      </c>
      <c r="D41" s="162"/>
      <c r="E41" s="163"/>
      <c r="F41" s="164" t="str">
        <f>IF(J26="zadej výdaje/uznatelnost DPH","zadej výdaje/DPH",IF(OR(zdroj!P2=1,zdroj!P2=2,zdroj!P2=3,zdroj!P2=4,zdroj!P2=5,zdroj!P2=15,zdroj!P2=18,zdroj!P2=19),IF(KR!J26&gt;15000000,428571425.5,I22),0))</f>
        <v>zadej výdaje/DPH</v>
      </c>
    </row>
    <row r="42" spans="2:18" ht="34.5" customHeight="1" x14ac:dyDescent="0.25">
      <c r="B42" s="159"/>
      <c r="C42" s="165" t="s">
        <v>232</v>
      </c>
      <c r="D42" s="157"/>
      <c r="E42" s="158"/>
      <c r="F42" s="166" t="str">
        <f>IF(J26="zadej výdaje/uznatelnost DPH","zadej výdaje/DPH",IF(OR(zdroj!P2=1,zdroj!P2=2,zdroj!P2=3,zdroj!P2=4,zdroj!P2=5,zdroj!P2=15,zdroj!P2=18,zdroj!P2=19),IF(KR!J26&gt;15000000,(KR!I22-428571425.5),0),KR!D30))</f>
        <v>zadej výdaje/DPH</v>
      </c>
      <c r="G42" s="160" t="s">
        <v>245</v>
      </c>
      <c r="H42" s="105"/>
    </row>
    <row r="43" spans="2:18" ht="34.5" customHeight="1" thickBot="1" x14ac:dyDescent="0.3">
      <c r="B43" s="159"/>
      <c r="C43" s="167" t="s">
        <v>233</v>
      </c>
      <c r="D43" s="168"/>
      <c r="E43" s="169"/>
      <c r="F43" s="170" t="str">
        <f>IFERROR((F22+I25+F28)-(I22+I26+I28),"zadej výdaje/DPH")</f>
        <v>zadej výdaje/DPH</v>
      </c>
    </row>
    <row r="44" spans="2:18" x14ac:dyDescent="0.25">
      <c r="C44" s="79" t="s">
        <v>229</v>
      </c>
    </row>
    <row r="45" spans="2:18" x14ac:dyDescent="0.25">
      <c r="C45" s="79" t="s">
        <v>230</v>
      </c>
    </row>
    <row r="47" spans="2:18" ht="18.75" customHeight="1" x14ac:dyDescent="0.25">
      <c r="C47" s="155" t="s">
        <v>264</v>
      </c>
    </row>
    <row r="48" spans="2:18" ht="63" customHeight="1" x14ac:dyDescent="0.25">
      <c r="C48" s="100" t="s">
        <v>265</v>
      </c>
      <c r="D48" s="101"/>
      <c r="E48" s="101"/>
      <c r="F48" s="101"/>
      <c r="G48" s="101"/>
      <c r="H48" s="101"/>
      <c r="I48" s="101"/>
      <c r="J48" s="101"/>
      <c r="K48" s="101"/>
      <c r="L48" s="101"/>
      <c r="M48" s="101"/>
      <c r="N48" s="101"/>
      <c r="O48" s="101"/>
      <c r="P48" s="101"/>
      <c r="Q48" s="101"/>
      <c r="R48" s="101"/>
    </row>
    <row r="49" spans="8:8" ht="80.25" customHeight="1" x14ac:dyDescent="0.25"/>
    <row r="51" spans="8:8" x14ac:dyDescent="0.25">
      <c r="H51" s="48" t="s">
        <v>121</v>
      </c>
    </row>
    <row r="52" spans="8:8" x14ac:dyDescent="0.25">
      <c r="H52" s="48" t="s">
        <v>121</v>
      </c>
    </row>
    <row r="53" spans="8:8" x14ac:dyDescent="0.25">
      <c r="H53" s="48" t="s">
        <v>121</v>
      </c>
    </row>
    <row r="54" spans="8:8" x14ac:dyDescent="0.25">
      <c r="H54" s="48" t="s">
        <v>121</v>
      </c>
    </row>
    <row r="55" spans="8:8" x14ac:dyDescent="0.25">
      <c r="H55" s="48" t="s">
        <v>121</v>
      </c>
    </row>
    <row r="56" spans="8:8" x14ac:dyDescent="0.25">
      <c r="H56" s="48" t="s">
        <v>121</v>
      </c>
    </row>
    <row r="57" spans="8:8" x14ac:dyDescent="0.25">
      <c r="H57" s="48" t="s">
        <v>121</v>
      </c>
    </row>
    <row r="58" spans="8:8" x14ac:dyDescent="0.25">
      <c r="H58" s="48" t="s">
        <v>121</v>
      </c>
    </row>
    <row r="59" spans="8:8" x14ac:dyDescent="0.25">
      <c r="H59" s="48" t="s">
        <v>121</v>
      </c>
    </row>
    <row r="60" spans="8:8" x14ac:dyDescent="0.25">
      <c r="H60" s="48" t="s">
        <v>121</v>
      </c>
    </row>
    <row r="61" spans="8:8" x14ac:dyDescent="0.25">
      <c r="H61" s="48" t="s">
        <v>121</v>
      </c>
    </row>
    <row r="62" spans="8:8" x14ac:dyDescent="0.25">
      <c r="H62" s="48" t="s">
        <v>121</v>
      </c>
    </row>
    <row r="64" spans="8:8" x14ac:dyDescent="0.25">
      <c r="H64" s="48" t="s">
        <v>121</v>
      </c>
    </row>
    <row r="65" spans="2:8" x14ac:dyDescent="0.25">
      <c r="H65" s="48" t="s">
        <v>121</v>
      </c>
    </row>
    <row r="66" spans="2:8" x14ac:dyDescent="0.25">
      <c r="H66" s="48" t="s">
        <v>121</v>
      </c>
    </row>
    <row r="67" spans="2:8" x14ac:dyDescent="0.25">
      <c r="H67" s="48" t="s">
        <v>121</v>
      </c>
    </row>
    <row r="68" spans="2:8" x14ac:dyDescent="0.25">
      <c r="H68" s="48" t="s">
        <v>121</v>
      </c>
    </row>
    <row r="69" spans="2:8" x14ac:dyDescent="0.25">
      <c r="H69" s="48" t="s">
        <v>121</v>
      </c>
    </row>
    <row r="70" spans="2:8" x14ac:dyDescent="0.25">
      <c r="B70" s="25"/>
      <c r="C70" s="26" t="s">
        <v>192</v>
      </c>
      <c r="D70" s="25"/>
      <c r="E70" s="25"/>
      <c r="F70" s="25"/>
      <c r="G70" s="25"/>
    </row>
    <row r="71" spans="2:8" x14ac:dyDescent="0.25">
      <c r="B71" s="24" t="s">
        <v>193</v>
      </c>
      <c r="C71" s="25" t="str">
        <f>CHOOSE(zdroj!L47,zdroj!M47,zdroj!M48,zdroj!M49,zdroj!M50)</f>
        <v>irelevantní</v>
      </c>
      <c r="D71" s="25"/>
      <c r="E71" s="25"/>
      <c r="F71" s="25"/>
      <c r="G71" s="25"/>
      <c r="H71" s="48" t="s">
        <v>121</v>
      </c>
    </row>
    <row r="72" spans="2:8" x14ac:dyDescent="0.25">
      <c r="B72" s="25"/>
      <c r="C72" s="74" t="s">
        <v>194</v>
      </c>
      <c r="D72" s="25"/>
      <c r="E72" s="25"/>
      <c r="F72" s="25"/>
      <c r="G72" s="25"/>
      <c r="H72" s="25" t="str">
        <f>IF(C72=C71,"Duplicita Podaktivit","")</f>
        <v/>
      </c>
    </row>
    <row r="73" spans="2:8" x14ac:dyDescent="0.25">
      <c r="B73" s="25"/>
      <c r="C73" s="74" t="s">
        <v>195</v>
      </c>
      <c r="D73" s="25"/>
      <c r="E73" s="25"/>
      <c r="F73" s="25"/>
      <c r="G73" s="25"/>
      <c r="H73" s="25" t="str">
        <f>IF(OR(C73=C72,C73=C71),"Duplicita Podaktivit","")</f>
        <v/>
      </c>
    </row>
    <row r="74" spans="2:8" x14ac:dyDescent="0.25">
      <c r="B74" s="25"/>
      <c r="C74" s="74" t="s">
        <v>196</v>
      </c>
      <c r="D74" s="25"/>
      <c r="E74" s="25"/>
      <c r="F74" s="25"/>
      <c r="G74" s="25"/>
      <c r="H74" s="25" t="str">
        <f>IF(OR(C74=C73,C74=C72,C74=C71),"Duplicita Podaktivit","")</f>
        <v/>
      </c>
    </row>
    <row r="75" spans="2:8" x14ac:dyDescent="0.25">
      <c r="H75" s="48" t="s">
        <v>121</v>
      </c>
    </row>
  </sheetData>
  <sheetProtection selectLockedCells="1"/>
  <mergeCells count="17">
    <mergeCell ref="B2:E2"/>
    <mergeCell ref="D3:F3"/>
    <mergeCell ref="B18:B21"/>
    <mergeCell ref="C5:F5"/>
    <mergeCell ref="C6:F6"/>
    <mergeCell ref="C48:R48"/>
    <mergeCell ref="I5:J5"/>
    <mergeCell ref="I6:J6"/>
    <mergeCell ref="I8:J8"/>
    <mergeCell ref="D24:G24"/>
    <mergeCell ref="C41:E41"/>
    <mergeCell ref="C42:E42"/>
    <mergeCell ref="C43:E43"/>
    <mergeCell ref="G31:I36"/>
    <mergeCell ref="D26:H26"/>
    <mergeCell ref="G42:H42"/>
    <mergeCell ref="G30:I30"/>
  </mergeCells>
  <conditionalFormatting sqref="D24:G24">
    <cfRule type="containsText" dxfId="15" priority="28" operator="containsText" text="Upozornění">
      <formula>NOT(ISERROR(SEARCH("Upozornění",D24)))</formula>
    </cfRule>
  </conditionalFormatting>
  <conditionalFormatting sqref="H72:H74">
    <cfRule type="containsText" dxfId="12" priority="3" operator="containsText" text="Duplicita">
      <formula>NOT(ISERROR(SEARCH("Duplicita",H72)))</formula>
    </cfRule>
  </conditionalFormatting>
  <pageMargins left="0.7" right="0.7" top="0.78740157499999996" bottom="0.78740157499999996" header="0.3" footer="0.3"/>
  <pageSetup paperSize="9" scale="56" orientation="landscape" r:id="rId1"/>
  <ignoredErrors>
    <ignoredError sqref="E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2</xdr:col>
                    <xdr:colOff>9525</xdr:colOff>
                    <xdr:row>6</xdr:row>
                    <xdr:rowOff>104775</xdr:rowOff>
                  </from>
                  <to>
                    <xdr:col>6</xdr:col>
                    <xdr:colOff>9525</xdr:colOff>
                    <xdr:row>8</xdr:row>
                    <xdr:rowOff>0</xdr:rowOff>
                  </to>
                </anchor>
              </controlPr>
            </control>
          </mc:Choice>
        </mc:AlternateContent>
        <mc:AlternateContent xmlns:mc="http://schemas.openxmlformats.org/markup-compatibility/2006">
          <mc:Choice Requires="x14">
            <control shapeId="1064" r:id="rId5" name="Drop Down 40">
              <controlPr defaultSize="0" autoLine="0" autoPict="0">
                <anchor moveWithCells="1">
                  <from>
                    <xdr:col>2</xdr:col>
                    <xdr:colOff>9525</xdr:colOff>
                    <xdr:row>7</xdr:row>
                    <xdr:rowOff>228600</xdr:rowOff>
                  </from>
                  <to>
                    <xdr:col>6</xdr:col>
                    <xdr:colOff>9525</xdr:colOff>
                    <xdr:row>9</xdr:row>
                    <xdr:rowOff>0</xdr:rowOff>
                  </to>
                </anchor>
              </controlPr>
            </control>
          </mc:Choice>
        </mc:AlternateContent>
        <mc:AlternateContent xmlns:mc="http://schemas.openxmlformats.org/markup-compatibility/2006">
          <mc:Choice Requires="x14">
            <control shapeId="1065" r:id="rId6" name="Drop Down 41">
              <controlPr defaultSize="0" autoLine="0" autoPict="0">
                <anchor moveWithCells="1">
                  <from>
                    <xdr:col>2</xdr:col>
                    <xdr:colOff>9525</xdr:colOff>
                    <xdr:row>8</xdr:row>
                    <xdr:rowOff>238125</xdr:rowOff>
                  </from>
                  <to>
                    <xdr:col>6</xdr:col>
                    <xdr:colOff>9525</xdr:colOff>
                    <xdr:row>10</xdr:row>
                    <xdr:rowOff>0</xdr:rowOff>
                  </to>
                </anchor>
              </controlPr>
            </control>
          </mc:Choice>
        </mc:AlternateContent>
        <mc:AlternateContent xmlns:mc="http://schemas.openxmlformats.org/markup-compatibility/2006">
          <mc:Choice Requires="x14">
            <control shapeId="1066" r:id="rId7" name="Drop Down 42">
              <controlPr defaultSize="0" autoLine="0" autoPict="0">
                <anchor moveWithCells="1">
                  <from>
                    <xdr:col>2</xdr:col>
                    <xdr:colOff>9525</xdr:colOff>
                    <xdr:row>9</xdr:row>
                    <xdr:rowOff>228600</xdr:rowOff>
                  </from>
                  <to>
                    <xdr:col>6</xdr:col>
                    <xdr:colOff>9525</xdr:colOff>
                    <xdr:row>10</xdr:row>
                    <xdr:rowOff>238125</xdr:rowOff>
                  </to>
                </anchor>
              </controlPr>
            </control>
          </mc:Choice>
        </mc:AlternateContent>
        <mc:AlternateContent xmlns:mc="http://schemas.openxmlformats.org/markup-compatibility/2006">
          <mc:Choice Requires="x14">
            <control shapeId="1067" r:id="rId8" name="Drop Down 43">
              <controlPr defaultSize="0" autoLine="0" autoPict="0">
                <anchor moveWithCells="1">
                  <from>
                    <xdr:col>2</xdr:col>
                    <xdr:colOff>9525</xdr:colOff>
                    <xdr:row>10</xdr:row>
                    <xdr:rowOff>228600</xdr:rowOff>
                  </from>
                  <to>
                    <xdr:col>6</xdr:col>
                    <xdr:colOff>9525</xdr:colOff>
                    <xdr:row>12</xdr:row>
                    <xdr:rowOff>0</xdr:rowOff>
                  </to>
                </anchor>
              </controlPr>
            </control>
          </mc:Choice>
        </mc:AlternateContent>
        <mc:AlternateContent xmlns:mc="http://schemas.openxmlformats.org/markup-compatibility/2006">
          <mc:Choice Requires="x14">
            <control shapeId="1068" r:id="rId9" name="Drop Down 44">
              <controlPr defaultSize="0" autoLine="0" autoPict="0">
                <anchor moveWithCells="1">
                  <from>
                    <xdr:col>2</xdr:col>
                    <xdr:colOff>9525</xdr:colOff>
                    <xdr:row>11</xdr:row>
                    <xdr:rowOff>228600</xdr:rowOff>
                  </from>
                  <to>
                    <xdr:col>6</xdr:col>
                    <xdr:colOff>9525</xdr:colOff>
                    <xdr:row>13</xdr:row>
                    <xdr:rowOff>0</xdr:rowOff>
                  </to>
                </anchor>
              </controlPr>
            </control>
          </mc:Choice>
        </mc:AlternateContent>
        <mc:AlternateContent xmlns:mc="http://schemas.openxmlformats.org/markup-compatibility/2006">
          <mc:Choice Requires="x14">
            <control shapeId="1069" r:id="rId10" name="Drop Down 45">
              <controlPr defaultSize="0" autoLine="0" autoPict="0">
                <anchor moveWithCells="1">
                  <from>
                    <xdr:col>2</xdr:col>
                    <xdr:colOff>9525</xdr:colOff>
                    <xdr:row>13</xdr:row>
                    <xdr:rowOff>0</xdr:rowOff>
                  </from>
                  <to>
                    <xdr:col>6</xdr:col>
                    <xdr:colOff>9525</xdr:colOff>
                    <xdr:row>14</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E2FC6861-625E-4A14-B0D4-26C8F87149A5}">
            <xm:f>zdroj!$A$58=1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B71:G71</xm:sqref>
        </x14:conditionalFormatting>
        <x14:conditionalFormatting xmlns:xm="http://schemas.microsoft.com/office/excel/2006/main">
          <x14:cfRule type="expression" priority="32" id="{4A7313BA-F59B-4ED0-83CC-386E9F3CF6DF}">
            <xm:f>zdroj!$O$2=1</xm:f>
            <x14:dxf>
              <font>
                <color theme="0"/>
              </font>
              <fill>
                <patternFill>
                  <bgColor theme="0"/>
                </patternFill>
              </fill>
              <border>
                <left/>
                <right/>
                <top/>
                <vertical/>
                <horizontal/>
              </border>
            </x14:dxf>
          </x14:cfRule>
          <xm:sqref>B26:I26</xm:sqref>
        </x14:conditionalFormatting>
        <x14:conditionalFormatting xmlns:xm="http://schemas.microsoft.com/office/excel/2006/main">
          <x14:cfRule type="expression" priority="33" id="{40359D27-D23C-4821-B8A9-0EB22BB65B60}">
            <xm:f>OR(zdroj!$P$2=1,zdroj!$P$2=2,zdroj!$P$2=3,zdroj!$P$2=4,zdroj!$P$2=5,zdroj!$P$2=15,zdroj!$P$2=18)</xm:f>
            <x14:dxf>
              <font>
                <color theme="0"/>
              </font>
              <fill>
                <patternFill>
                  <bgColor theme="0"/>
                </patternFill>
              </fill>
              <border>
                <left/>
                <right/>
                <bottom/>
              </border>
            </x14:dxf>
          </x14:cfRule>
          <xm:sqref>B27:I27</xm:sqref>
        </x14:conditionalFormatting>
        <x14:conditionalFormatting xmlns:xm="http://schemas.microsoft.com/office/excel/2006/main">
          <x14:cfRule type="expression" priority="6" id="{9B3E19BA-E0BE-4C60-8E02-0374892312A9}">
            <xm:f>zdroj!$A$58=1</xm:f>
            <x14:dxf>
              <font>
                <color theme="1"/>
              </font>
              <fill>
                <patternFill>
                  <bgColor rgb="FF92D050"/>
                </patternFill>
              </fill>
              <border>
                <left style="thin">
                  <color auto="1"/>
                </left>
                <right style="thin">
                  <color auto="1"/>
                </right>
                <top style="thin">
                  <color auto="1"/>
                </top>
                <bottom style="thin">
                  <color auto="1"/>
                </bottom>
                <vertical/>
                <horizontal/>
              </border>
            </x14:dxf>
          </x14:cfRule>
          <xm:sqref>C72:C74</xm:sqref>
        </x14:conditionalFormatting>
        <x14:conditionalFormatting xmlns:xm="http://schemas.microsoft.com/office/excel/2006/main">
          <x14:cfRule type="expression" priority="8" id="{56E91F7A-3672-464F-87E7-8EC1C485B259}">
            <xm:f>zdroj!$A$58=1</xm:f>
            <x14:dxf>
              <font>
                <color theme="1"/>
              </font>
              <fill>
                <patternFill>
                  <bgColor theme="7" tint="0.39994506668294322"/>
                </patternFill>
              </fill>
              <border>
                <left style="thin">
                  <color auto="1"/>
                </left>
                <right style="thin">
                  <color auto="1"/>
                </right>
                <top style="thin">
                  <color auto="1"/>
                </top>
                <bottom style="thin">
                  <color auto="1"/>
                </bottom>
                <vertical/>
                <horizontal/>
              </border>
            </x14:dxf>
          </x14:cfRule>
          <xm:sqref>C70:G70</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zdroj!$D$59:$D$70</xm:f>
          </x14:formula1>
          <xm:sqref>C52</xm:sqref>
        </x14:dataValidation>
        <x14:dataValidation type="list" allowBlank="1" showInputMessage="1" showErrorMessage="1">
          <x14:formula1>
            <xm:f>zdroj!$E$59:$E$70</xm:f>
          </x14:formula1>
          <xm:sqref>C53</xm:sqref>
        </x14:dataValidation>
        <x14:dataValidation type="list" allowBlank="1" showInputMessage="1" showErrorMessage="1">
          <x14:formula1>
            <xm:f>zdroj!$F$59:$F$70</xm:f>
          </x14:formula1>
          <xm:sqref>C54</xm:sqref>
        </x14:dataValidation>
        <x14:dataValidation type="list" allowBlank="1" showInputMessage="1" showErrorMessage="1">
          <x14:formula1>
            <xm:f>zdroj!$G$59:$G$70</xm:f>
          </x14:formula1>
          <xm:sqref>C55</xm:sqref>
        </x14:dataValidation>
        <x14:dataValidation type="list" allowBlank="1" showInputMessage="1" showErrorMessage="1">
          <x14:formula1>
            <xm:f>zdroj!$H$59:$H$70</xm:f>
          </x14:formula1>
          <xm:sqref>C56</xm:sqref>
        </x14:dataValidation>
        <x14:dataValidation type="list" allowBlank="1" showInputMessage="1" showErrorMessage="1">
          <x14:formula1>
            <xm:f>zdroj!$I$59:$I$70</xm:f>
          </x14:formula1>
          <xm:sqref>C57</xm:sqref>
        </x14:dataValidation>
        <x14:dataValidation type="list" allowBlank="1" showInputMessage="1" showErrorMessage="1">
          <x14:formula1>
            <xm:f>zdroj!$J$59:$J$70</xm:f>
          </x14:formula1>
          <xm:sqref>C58</xm:sqref>
        </x14:dataValidation>
        <x14:dataValidation type="list" allowBlank="1" showInputMessage="1" showErrorMessage="1">
          <x14:formula1>
            <xm:f>zdroj!$K$59:$K$70</xm:f>
          </x14:formula1>
          <xm:sqref>C59</xm:sqref>
        </x14:dataValidation>
        <x14:dataValidation type="list" allowBlank="1" showInputMessage="1" showErrorMessage="1">
          <x14:formula1>
            <xm:f>zdroj!$L$59:$L$70</xm:f>
          </x14:formula1>
          <xm:sqref>C60</xm:sqref>
        </x14:dataValidation>
        <x14:dataValidation type="list" allowBlank="1" showInputMessage="1" showErrorMessage="1">
          <x14:formula1>
            <xm:f>zdroj!$M$59:$M$70</xm:f>
          </x14:formula1>
          <xm:sqref>C61</xm:sqref>
        </x14:dataValidation>
        <x14:dataValidation type="list" allowBlank="1" showInputMessage="1" showErrorMessage="1">
          <x14:formula1>
            <xm:f>zdroj!$D$72:$D$77</xm:f>
          </x14:formula1>
          <xm:sqref>C65</xm:sqref>
        </x14:dataValidation>
        <x14:dataValidation type="list" allowBlank="1" showInputMessage="1" showErrorMessage="1">
          <x14:formula1>
            <xm:f>zdroj!$E$72:$E$77</xm:f>
          </x14:formula1>
          <xm:sqref>C66</xm:sqref>
        </x14:dataValidation>
        <x14:dataValidation type="list" allowBlank="1" showInputMessage="1" showErrorMessage="1">
          <x14:formula1>
            <xm:f>zdroj!$F$72:$F$77</xm:f>
          </x14:formula1>
          <xm:sqref>C67</xm:sqref>
        </x14:dataValidation>
        <x14:dataValidation type="list" allowBlank="1" showInputMessage="1" showErrorMessage="1">
          <x14:formula1>
            <xm:f>zdroj!$G$72:$G$77</xm:f>
          </x14:formula1>
          <xm:sqref>C68</xm:sqref>
        </x14:dataValidation>
        <x14:dataValidation type="list" allowBlank="1" showInputMessage="1" showErrorMessage="1">
          <x14:formula1>
            <xm:f>zdroj!$D$79:$D$83</xm:f>
          </x14:formula1>
          <xm:sqref>C72</xm:sqref>
        </x14:dataValidation>
        <x14:dataValidation type="list" allowBlank="1" showInputMessage="1" showErrorMessage="1">
          <x14:formula1>
            <xm:f>zdroj!$E$79:$E$83</xm:f>
          </x14:formula1>
          <xm:sqref>C73</xm:sqref>
        </x14:dataValidation>
        <x14:dataValidation type="list" allowBlank="1" showInputMessage="1" showErrorMessage="1">
          <x14:formula1>
            <xm:f>zdroj!$F$79:$F$83</xm:f>
          </x14:formula1>
          <xm:sqref>C74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FF00"/>
  </sheetPr>
  <dimension ref="A1:Y83"/>
  <sheetViews>
    <sheetView zoomScaleNormal="100" workbookViewId="0">
      <selection activeCell="G83" sqref="G83"/>
    </sheetView>
  </sheetViews>
  <sheetFormatPr defaultColWidth="9.140625" defaultRowHeight="15" x14ac:dyDescent="0.25"/>
  <cols>
    <col min="1" max="2" width="10.85546875" bestFit="1" customWidth="1"/>
    <col min="4" max="4" width="11.85546875" bestFit="1" customWidth="1"/>
    <col min="9" max="9" width="13" customWidth="1"/>
    <col min="13" max="13" width="69.85546875" customWidth="1"/>
    <col min="16" max="16" width="15.7109375" customWidth="1"/>
    <col min="17" max="17" width="37.28515625" customWidth="1"/>
    <col min="18" max="18" width="15" bestFit="1" customWidth="1"/>
    <col min="19" max="20" width="15.7109375" bestFit="1" customWidth="1"/>
  </cols>
  <sheetData>
    <row r="1" spans="1:20" x14ac:dyDescent="0.25">
      <c r="A1" t="b">
        <f>OR(C10=2,C10=3,C10=5,C10=6,C10=11)</f>
        <v>1</v>
      </c>
      <c r="C1">
        <v>1</v>
      </c>
      <c r="D1" t="s">
        <v>64</v>
      </c>
      <c r="L1">
        <f>CHOOSE($C$1,1,0,0,0,0,0,0)</f>
        <v>1</v>
      </c>
      <c r="M1" t="s">
        <v>167</v>
      </c>
      <c r="N1" t="s">
        <v>28</v>
      </c>
      <c r="R1" s="77" t="s">
        <v>225</v>
      </c>
      <c r="S1" t="s">
        <v>251</v>
      </c>
    </row>
    <row r="2" spans="1:20" ht="17.25" customHeight="1" x14ac:dyDescent="0.25">
      <c r="A2" t="b">
        <f>AND(A1=TRUE,C1=6)</f>
        <v>0</v>
      </c>
      <c r="C2">
        <v>2</v>
      </c>
      <c r="D2" t="s">
        <v>124</v>
      </c>
      <c r="L2">
        <v>1</v>
      </c>
      <c r="M2" s="1" t="s">
        <v>3</v>
      </c>
      <c r="N2" s="8" t="s">
        <v>29</v>
      </c>
      <c r="O2">
        <f>IF(OR(AND(P2&gt;5,P2&lt;15),P2=16,P2=17,P2&gt;18),1,0)</f>
        <v>0</v>
      </c>
      <c r="P2">
        <v>1</v>
      </c>
      <c r="Q2" s="10" t="s">
        <v>66</v>
      </c>
      <c r="R2" s="77">
        <v>1</v>
      </c>
    </row>
    <row r="3" spans="1:20" x14ac:dyDescent="0.25">
      <c r="D3" t="s">
        <v>125</v>
      </c>
      <c r="L3">
        <v>2</v>
      </c>
      <c r="M3" s="2" t="s">
        <v>5</v>
      </c>
      <c r="N3" s="8" t="s">
        <v>30</v>
      </c>
      <c r="Q3" s="76" t="s">
        <v>211</v>
      </c>
      <c r="R3" s="77">
        <v>2</v>
      </c>
      <c r="T3" t="s">
        <v>121</v>
      </c>
    </row>
    <row r="4" spans="1:20" x14ac:dyDescent="0.25">
      <c r="D4" t="s">
        <v>126</v>
      </c>
      <c r="L4">
        <v>3</v>
      </c>
      <c r="M4" s="2" t="s">
        <v>90</v>
      </c>
      <c r="N4" s="8" t="s">
        <v>31</v>
      </c>
      <c r="Q4" s="76" t="s">
        <v>208</v>
      </c>
      <c r="R4" s="77">
        <v>3</v>
      </c>
      <c r="T4" t="s">
        <v>121</v>
      </c>
    </row>
    <row r="5" spans="1:20" x14ac:dyDescent="0.25">
      <c r="D5" t="s">
        <v>127</v>
      </c>
      <c r="L5">
        <v>4</v>
      </c>
      <c r="M5" s="2" t="s">
        <v>6</v>
      </c>
      <c r="N5" s="8" t="s">
        <v>54</v>
      </c>
      <c r="Q5" s="76" t="s">
        <v>209</v>
      </c>
      <c r="R5" s="77">
        <v>4</v>
      </c>
      <c r="T5" t="s">
        <v>121</v>
      </c>
    </row>
    <row r="6" spans="1:20" x14ac:dyDescent="0.25">
      <c r="D6" t="s">
        <v>128</v>
      </c>
      <c r="L6">
        <v>5</v>
      </c>
      <c r="M6" s="3" t="s">
        <v>7</v>
      </c>
      <c r="N6" s="8" t="s">
        <v>55</v>
      </c>
      <c r="Q6" s="76" t="s">
        <v>210</v>
      </c>
      <c r="R6" s="77">
        <v>5</v>
      </c>
      <c r="T6" t="s">
        <v>121</v>
      </c>
    </row>
    <row r="7" spans="1:20" x14ac:dyDescent="0.25">
      <c r="D7" t="s">
        <v>129</v>
      </c>
      <c r="L7">
        <v>6</v>
      </c>
      <c r="M7" s="1" t="s">
        <v>8</v>
      </c>
      <c r="N7" s="8" t="s">
        <v>32</v>
      </c>
      <c r="Q7" s="75" t="s">
        <v>212</v>
      </c>
      <c r="R7" s="77"/>
      <c r="S7">
        <v>6</v>
      </c>
      <c r="T7" t="s">
        <v>121</v>
      </c>
    </row>
    <row r="8" spans="1:20" x14ac:dyDescent="0.25">
      <c r="L8">
        <v>7</v>
      </c>
      <c r="M8" s="2" t="s">
        <v>10</v>
      </c>
      <c r="N8" s="8" t="s">
        <v>33</v>
      </c>
      <c r="Q8" s="75" t="s">
        <v>213</v>
      </c>
      <c r="R8" s="77"/>
      <c r="S8">
        <v>7</v>
      </c>
    </row>
    <row r="9" spans="1:20" x14ac:dyDescent="0.25">
      <c r="L9">
        <v>8</v>
      </c>
      <c r="M9" s="3" t="s">
        <v>9</v>
      </c>
      <c r="N9" s="8" t="s">
        <v>34</v>
      </c>
      <c r="Q9" s="75" t="s">
        <v>214</v>
      </c>
      <c r="R9" s="77"/>
      <c r="S9">
        <v>8</v>
      </c>
    </row>
    <row r="10" spans="1:20" x14ac:dyDescent="0.25">
      <c r="C10">
        <v>6</v>
      </c>
      <c r="D10" s="1" t="str">
        <f>CHOOSE($C$1,$M$1,M2,M7,M10,M20,M25,M36)</f>
        <v>Vyber nejprve Specifický cíl a poté hlavní Opatření projektu</v>
      </c>
      <c r="L10" s="4">
        <v>9</v>
      </c>
      <c r="M10" s="1" t="s">
        <v>252</v>
      </c>
      <c r="N10" s="4" t="s">
        <v>35</v>
      </c>
      <c r="Q10" s="75" t="s">
        <v>250</v>
      </c>
      <c r="R10" s="77"/>
      <c r="S10">
        <v>9</v>
      </c>
    </row>
    <row r="11" spans="1:20" x14ac:dyDescent="0.25">
      <c r="D11" s="2" t="str">
        <f>CHOOSE($C$1,$M$1,M3,M8,M11,M21,M26,M37)</f>
        <v>Vyber nejprve Specifický cíl a poté hlavní Opatření projektu</v>
      </c>
      <c r="L11" s="12">
        <v>10</v>
      </c>
      <c r="M11" s="2" t="s">
        <v>91</v>
      </c>
      <c r="N11" s="12" t="s">
        <v>36</v>
      </c>
      <c r="Q11" s="75" t="s">
        <v>215</v>
      </c>
      <c r="R11" s="77"/>
      <c r="S11">
        <v>10</v>
      </c>
      <c r="T11" t="s">
        <v>121</v>
      </c>
    </row>
    <row r="12" spans="1:20" x14ac:dyDescent="0.25">
      <c r="D12" s="2" t="str">
        <f>CHOOSE($C$1,$M$1,M4,M9,M12,M22,M27,M38)</f>
        <v>Vyber nejprve Specifický cíl a poté hlavní Opatření projektu</v>
      </c>
      <c r="L12">
        <v>11</v>
      </c>
      <c r="M12" s="2" t="s">
        <v>92</v>
      </c>
      <c r="N12" s="12" t="s">
        <v>37</v>
      </c>
      <c r="Q12" s="75" t="s">
        <v>216</v>
      </c>
      <c r="R12" s="77"/>
      <c r="S12">
        <v>11</v>
      </c>
      <c r="T12" t="s">
        <v>121</v>
      </c>
    </row>
    <row r="13" spans="1:20" x14ac:dyDescent="0.25">
      <c r="D13" s="2" t="str">
        <f>CHOOSE($C$1,$M$1,M5,"irelevantní",M13,M23,M28,M39)</f>
        <v>Vyber nejprve Specifický cíl a poté hlavní Opatření projektu</v>
      </c>
      <c r="L13">
        <v>12</v>
      </c>
      <c r="M13" s="2" t="s">
        <v>93</v>
      </c>
      <c r="N13" s="12" t="s">
        <v>109</v>
      </c>
      <c r="Q13" s="75" t="s">
        <v>217</v>
      </c>
      <c r="R13" s="77"/>
      <c r="S13">
        <v>12</v>
      </c>
    </row>
    <row r="14" spans="1:20" x14ac:dyDescent="0.25">
      <c r="D14" s="2" t="str">
        <f>CHOOSE($C$1,$M$1,M6,"irelevantní",M14,M24,M29,M40)</f>
        <v>Vyber nejprve Specifický cíl a poté hlavní Opatření projektu</v>
      </c>
      <c r="L14">
        <v>13</v>
      </c>
      <c r="M14" s="2" t="s">
        <v>94</v>
      </c>
      <c r="N14" s="12" t="s">
        <v>110</v>
      </c>
      <c r="Q14" s="75" t="s">
        <v>218</v>
      </c>
      <c r="R14" s="77"/>
      <c r="S14">
        <v>13</v>
      </c>
    </row>
    <row r="15" spans="1:20" x14ac:dyDescent="0.25">
      <c r="D15" s="2" t="str">
        <f>CHOOSE($C$1,$M$1,"irelevantní","irelevantní",M15,"irelevantní",M30,M41)</f>
        <v>Vyber nejprve Specifický cíl a poté hlavní Opatření projektu</v>
      </c>
      <c r="I15" t="s">
        <v>88</v>
      </c>
      <c r="L15">
        <v>14</v>
      </c>
      <c r="M15" s="2" t="s">
        <v>95</v>
      </c>
      <c r="N15" s="12" t="s">
        <v>111</v>
      </c>
      <c r="Q15" s="75" t="s">
        <v>219</v>
      </c>
      <c r="R15" s="77"/>
      <c r="S15">
        <v>14</v>
      </c>
    </row>
    <row r="16" spans="1:20" x14ac:dyDescent="0.25">
      <c r="D16" s="2" t="str">
        <f>CHOOSE($C$1,$M$1,"irelevantní","irelevantní",M16,"irelevantní",M31,M42)</f>
        <v>Vyber nejprve Specifický cíl a poté hlavní Opatření projektu</v>
      </c>
      <c r="I16" s="10">
        <v>24.739000000000001</v>
      </c>
      <c r="L16">
        <v>15</v>
      </c>
      <c r="M16" s="2" t="s">
        <v>96</v>
      </c>
      <c r="N16" s="12" t="s">
        <v>112</v>
      </c>
      <c r="Q16" s="76" t="s">
        <v>220</v>
      </c>
      <c r="R16" s="77">
        <v>15</v>
      </c>
    </row>
    <row r="17" spans="2:25" x14ac:dyDescent="0.25">
      <c r="D17" s="2" t="str">
        <f>CHOOSE($C$1,$M$1,"irelevantní","irelevantní",M17,"irelevantní",M32,M43)</f>
        <v>Vyber nejprve Specifický cíl a poté hlavní Opatření projektu</v>
      </c>
      <c r="I17" t="s">
        <v>89</v>
      </c>
      <c r="L17">
        <v>16</v>
      </c>
      <c r="M17" s="2" t="s">
        <v>97</v>
      </c>
      <c r="N17" s="12" t="s">
        <v>113</v>
      </c>
      <c r="Q17" s="75" t="s">
        <v>221</v>
      </c>
      <c r="R17" s="77"/>
      <c r="S17">
        <v>16</v>
      </c>
    </row>
    <row r="18" spans="2:25" x14ac:dyDescent="0.25">
      <c r="D18" s="2" t="str">
        <f>CHOOSE($C$1,$M$1,"irelevantní","irelevantní",M18,"irelevantní",M33,"irelevantní")</f>
        <v>Vyber nejprve Specifický cíl a poté hlavní Opatření projektu</v>
      </c>
      <c r="L18">
        <v>17</v>
      </c>
      <c r="M18" s="2" t="s">
        <v>98</v>
      </c>
      <c r="N18" s="12" t="s">
        <v>114</v>
      </c>
      <c r="Q18" s="75" t="s">
        <v>222</v>
      </c>
      <c r="R18" s="77"/>
      <c r="S18">
        <v>17</v>
      </c>
    </row>
    <row r="19" spans="2:25" x14ac:dyDescent="0.25">
      <c r="D19" s="2" t="str">
        <f>CHOOSE($C$1,$M$1,"irelevantní","irelevantní",M19,"irelevantní",M34,"irelevantní")</f>
        <v>Vyber nejprve Specifický cíl a poté hlavní Opatření projektu</v>
      </c>
      <c r="L19">
        <v>18</v>
      </c>
      <c r="M19" s="2" t="s">
        <v>99</v>
      </c>
      <c r="N19" s="12" t="s">
        <v>115</v>
      </c>
      <c r="Q19" s="76" t="s">
        <v>223</v>
      </c>
      <c r="R19" s="77">
        <v>18</v>
      </c>
    </row>
    <row r="20" spans="2:25" x14ac:dyDescent="0.25">
      <c r="D20" s="2" t="str">
        <f>CHOOSE($C$1,$M$1,"irelevantní","irelevantní",M44,"irelevantní",M35,"irelevantní")</f>
        <v>Vyber nejprve Specifický cíl a poté hlavní Opatření projektu</v>
      </c>
      <c r="L20">
        <v>19</v>
      </c>
      <c r="M20" s="1" t="s">
        <v>100</v>
      </c>
      <c r="N20" s="8" t="s">
        <v>38</v>
      </c>
      <c r="Q20" s="75" t="s">
        <v>224</v>
      </c>
      <c r="R20" s="77"/>
      <c r="S20">
        <v>19</v>
      </c>
      <c r="Y20" s="20"/>
    </row>
    <row r="21" spans="2:25" x14ac:dyDescent="0.25">
      <c r="L21">
        <v>20</v>
      </c>
      <c r="M21" s="2" t="s">
        <v>12</v>
      </c>
      <c r="N21" s="8" t="s">
        <v>39</v>
      </c>
      <c r="Q21" s="75" t="s">
        <v>246</v>
      </c>
      <c r="R21" s="77"/>
      <c r="S21">
        <v>20</v>
      </c>
      <c r="Y21" s="20"/>
    </row>
    <row r="22" spans="2:25" x14ac:dyDescent="0.25">
      <c r="L22">
        <v>21</v>
      </c>
      <c r="M22" s="2" t="s">
        <v>13</v>
      </c>
      <c r="N22" s="8" t="s">
        <v>40</v>
      </c>
      <c r="Q22" s="75" t="s">
        <v>247</v>
      </c>
      <c r="R22" s="98"/>
      <c r="S22" s="98">
        <v>21</v>
      </c>
      <c r="Y22" s="20"/>
    </row>
    <row r="23" spans="2:25" x14ac:dyDescent="0.25">
      <c r="B23">
        <f>IF(AND(C1=4,C10=1),9,IF(AND(C1=7,C10=1),35,IF(AND(C1=7,C10=2),36,IF(AND(C1=4,C10=11),43,0))))</f>
        <v>0</v>
      </c>
      <c r="C23">
        <v>2</v>
      </c>
      <c r="D23" t="str">
        <f>IF($B$23=9,D31,IF($B$23=35,D36,IF($B$23=36,D41,IF($B$23=43,D43,"irelevantní"))))</f>
        <v>irelevantní</v>
      </c>
      <c r="L23">
        <v>22</v>
      </c>
      <c r="M23" s="2" t="s">
        <v>14</v>
      </c>
      <c r="N23" s="8" t="s">
        <v>41</v>
      </c>
      <c r="Q23" s="75" t="s">
        <v>248</v>
      </c>
      <c r="R23" s="98"/>
      <c r="S23" s="98">
        <v>22</v>
      </c>
      <c r="Y23" s="20"/>
    </row>
    <row r="24" spans="2:25" x14ac:dyDescent="0.25">
      <c r="B24">
        <v>1</v>
      </c>
      <c r="D24" t="str">
        <f>IF($B$23=9,D32,IF($B$23=35,D37,IF($B$23=36,D42,IF($B$23=43,D44,"irelevantní"))))</f>
        <v>irelevantní</v>
      </c>
      <c r="L24">
        <v>23</v>
      </c>
      <c r="M24" s="3" t="s">
        <v>15</v>
      </c>
      <c r="N24" s="8" t="s">
        <v>42</v>
      </c>
      <c r="Q24" s="75" t="s">
        <v>249</v>
      </c>
      <c r="R24" s="98"/>
      <c r="S24" s="98">
        <v>23</v>
      </c>
      <c r="Y24" s="20"/>
    </row>
    <row r="25" spans="2:25" x14ac:dyDescent="0.25">
      <c r="D25" t="str">
        <f>IF($B$23=9,D33,IF($B$23=35,D38,"irelevantní"))</f>
        <v>irelevantní</v>
      </c>
      <c r="L25">
        <v>24</v>
      </c>
      <c r="M25" s="1" t="s">
        <v>16</v>
      </c>
      <c r="N25" s="16" t="s">
        <v>43</v>
      </c>
      <c r="R25" s="98"/>
      <c r="S25" s="98"/>
      <c r="Y25" s="20"/>
    </row>
    <row r="26" spans="2:25" x14ac:dyDescent="0.25">
      <c r="D26" t="str">
        <f>IF($B$23=9,D34,IF($B$23=35,D39,"irelevantní"))</f>
        <v>irelevantní</v>
      </c>
      <c r="L26">
        <v>25</v>
      </c>
      <c r="M26" s="2" t="s">
        <v>17</v>
      </c>
      <c r="N26" s="16" t="s">
        <v>44</v>
      </c>
      <c r="P26">
        <v>4</v>
      </c>
      <c r="Q26" t="s">
        <v>150</v>
      </c>
      <c r="Y26" s="20"/>
    </row>
    <row r="27" spans="2:25" x14ac:dyDescent="0.25">
      <c r="D27" t="str">
        <f>IF($B$23=9,D35,IF($B$23=35,D40,"irelevantní"))</f>
        <v>irelevantní</v>
      </c>
      <c r="L27">
        <v>26</v>
      </c>
      <c r="M27" s="2" t="s">
        <v>18</v>
      </c>
      <c r="N27" s="16" t="s">
        <v>45</v>
      </c>
      <c r="Q27" t="s">
        <v>244</v>
      </c>
      <c r="Y27" s="20"/>
    </row>
    <row r="28" spans="2:25" x14ac:dyDescent="0.25">
      <c r="L28">
        <v>27</v>
      </c>
      <c r="M28" s="2" t="s">
        <v>19</v>
      </c>
      <c r="N28" s="16" t="s">
        <v>46</v>
      </c>
      <c r="Q28" t="s">
        <v>151</v>
      </c>
      <c r="Y28" s="20"/>
    </row>
    <row r="29" spans="2:25" x14ac:dyDescent="0.25">
      <c r="L29">
        <v>28</v>
      </c>
      <c r="M29" s="2" t="s">
        <v>26</v>
      </c>
      <c r="N29" s="16" t="s">
        <v>47</v>
      </c>
      <c r="Q29" t="s">
        <v>76</v>
      </c>
      <c r="Y29" s="20"/>
    </row>
    <row r="30" spans="2:25" x14ac:dyDescent="0.25">
      <c r="D30" t="s">
        <v>27</v>
      </c>
      <c r="L30">
        <v>29</v>
      </c>
      <c r="M30" s="2" t="s">
        <v>20</v>
      </c>
      <c r="N30" s="16" t="s">
        <v>48</v>
      </c>
      <c r="P30" s="92" t="str">
        <f>IF(KR!I23&gt;10000000,"0,035",IF(KR!I23&lt;3000000,",07",",05"))</f>
        <v>0,035</v>
      </c>
      <c r="Q30" s="93" t="s">
        <v>72</v>
      </c>
      <c r="R30" s="87" t="s">
        <v>84</v>
      </c>
      <c r="Y30" s="20"/>
    </row>
    <row r="31" spans="2:25" ht="15.75" thickBot="1" x14ac:dyDescent="0.3">
      <c r="C31" s="5" t="s">
        <v>152</v>
      </c>
      <c r="D31" s="4" t="s">
        <v>130</v>
      </c>
      <c r="L31">
        <v>30</v>
      </c>
      <c r="M31" s="2" t="s">
        <v>21</v>
      </c>
      <c r="N31" s="16" t="s">
        <v>49</v>
      </c>
      <c r="P31" s="88"/>
      <c r="R31" s="89" t="s">
        <v>86</v>
      </c>
      <c r="Y31" s="20"/>
    </row>
    <row r="32" spans="2:25" ht="15.75" thickBot="1" x14ac:dyDescent="0.3">
      <c r="C32" s="13" t="s">
        <v>153</v>
      </c>
      <c r="D32" s="4" t="s">
        <v>131</v>
      </c>
      <c r="L32">
        <v>31</v>
      </c>
      <c r="M32" s="2" t="s">
        <v>22</v>
      </c>
      <c r="N32" s="16" t="s">
        <v>50</v>
      </c>
      <c r="P32" s="97" t="str">
        <f>IF(OR(C1=4,C1=7),P33,P30)</f>
        <v>0,035</v>
      </c>
      <c r="Q32" s="90"/>
      <c r="R32" s="91" t="s">
        <v>85</v>
      </c>
      <c r="Y32" s="20"/>
    </row>
    <row r="33" spans="3:25" x14ac:dyDescent="0.25">
      <c r="D33" s="4" t="s">
        <v>132</v>
      </c>
      <c r="L33">
        <v>32</v>
      </c>
      <c r="M33" s="2" t="s">
        <v>23</v>
      </c>
      <c r="N33" s="16" t="s">
        <v>51</v>
      </c>
      <c r="P33" s="96" t="str">
        <f>IF(KR!I23&gt;10000000,"0,05",",07")</f>
        <v>0,05</v>
      </c>
      <c r="Q33" s="94"/>
      <c r="R33" s="87" t="s">
        <v>241</v>
      </c>
      <c r="Y33" s="20"/>
    </row>
    <row r="34" spans="3:25" x14ac:dyDescent="0.25">
      <c r="D34" s="4" t="s">
        <v>133</v>
      </c>
      <c r="L34">
        <v>33</v>
      </c>
      <c r="M34" s="2" t="s">
        <v>24</v>
      </c>
      <c r="N34" s="16" t="s">
        <v>52</v>
      </c>
      <c r="P34" s="95" t="s">
        <v>242</v>
      </c>
      <c r="Q34" s="90"/>
      <c r="R34" s="91" t="s">
        <v>240</v>
      </c>
      <c r="Y34" s="20"/>
    </row>
    <row r="35" spans="3:25" x14ac:dyDescent="0.25">
      <c r="D35" s="4" t="s">
        <v>134</v>
      </c>
      <c r="L35">
        <v>34</v>
      </c>
      <c r="M35" s="3" t="s">
        <v>25</v>
      </c>
      <c r="N35" s="16" t="s">
        <v>53</v>
      </c>
      <c r="P35">
        <v>1</v>
      </c>
      <c r="Q35" t="s">
        <v>155</v>
      </c>
      <c r="Y35" s="20"/>
    </row>
    <row r="36" spans="3:25" x14ac:dyDescent="0.25">
      <c r="C36" s="18" t="s">
        <v>154</v>
      </c>
      <c r="D36" s="6" t="s">
        <v>135</v>
      </c>
      <c r="L36" s="6">
        <v>35</v>
      </c>
      <c r="M36" s="1" t="s">
        <v>101</v>
      </c>
      <c r="N36" s="17" t="s">
        <v>56</v>
      </c>
      <c r="Q36" t="s">
        <v>234</v>
      </c>
      <c r="Y36" s="20"/>
    </row>
    <row r="37" spans="3:25" x14ac:dyDescent="0.25">
      <c r="D37" s="6" t="s">
        <v>136</v>
      </c>
      <c r="L37" s="7">
        <v>36</v>
      </c>
      <c r="M37" s="2" t="s">
        <v>102</v>
      </c>
      <c r="N37" s="9" t="s">
        <v>57</v>
      </c>
      <c r="Q37" t="s">
        <v>74</v>
      </c>
    </row>
    <row r="38" spans="3:25" x14ac:dyDescent="0.25">
      <c r="D38" s="6" t="s">
        <v>137</v>
      </c>
      <c r="L38">
        <v>37</v>
      </c>
      <c r="M38" s="2" t="s">
        <v>103</v>
      </c>
      <c r="N38" s="8" t="s">
        <v>58</v>
      </c>
      <c r="Q38" t="s">
        <v>75</v>
      </c>
    </row>
    <row r="39" spans="3:25" x14ac:dyDescent="0.25">
      <c r="D39" s="6" t="s">
        <v>138</v>
      </c>
      <c r="L39">
        <v>38</v>
      </c>
      <c r="M39" s="2" t="s">
        <v>106</v>
      </c>
      <c r="N39" s="8" t="s">
        <v>59</v>
      </c>
    </row>
    <row r="40" spans="3:25" x14ac:dyDescent="0.25">
      <c r="D40" s="6" t="s">
        <v>139</v>
      </c>
      <c r="L40">
        <v>39</v>
      </c>
      <c r="M40" s="2" t="s">
        <v>104</v>
      </c>
      <c r="N40" s="8" t="s">
        <v>60</v>
      </c>
      <c r="P40" s="11" t="e">
        <f>CHOOSE(P26,KR!F27-KR!G27*(1+(KR!E27/100)),KR!D27-KR!G27,KR!F27-KR!G27*(1+(KR!E27/100)))</f>
        <v>#VALUE!</v>
      </c>
      <c r="Q40" t="s">
        <v>82</v>
      </c>
      <c r="R40" s="11" t="e">
        <f>P40</f>
        <v>#VALUE!</v>
      </c>
    </row>
    <row r="41" spans="3:25" x14ac:dyDescent="0.25">
      <c r="D41" s="7" t="s">
        <v>140</v>
      </c>
      <c r="L41">
        <v>40</v>
      </c>
      <c r="M41" s="2" t="s">
        <v>105</v>
      </c>
      <c r="N41" s="8" t="s">
        <v>61</v>
      </c>
      <c r="P41" s="11" t="e">
        <f>IF((P32*(KR!I18+KR!I20))&gt;15000000,15000000,(P32*(KR!I18+KR!I20)))</f>
        <v>#VALUE!</v>
      </c>
      <c r="Q41" t="s">
        <v>83</v>
      </c>
      <c r="R41" s="11" t="e">
        <f>P41</f>
        <v>#VALUE!</v>
      </c>
      <c r="S41" s="11" t="e">
        <f>R40-R41</f>
        <v>#VALUE!</v>
      </c>
      <c r="T41" s="11" t="e">
        <f>S41*1.21</f>
        <v>#VALUE!</v>
      </c>
    </row>
    <row r="42" spans="3:25" x14ac:dyDescent="0.25">
      <c r="D42" s="7" t="s">
        <v>141</v>
      </c>
      <c r="L42">
        <v>41</v>
      </c>
      <c r="M42" s="2" t="s">
        <v>107</v>
      </c>
      <c r="N42" s="8" t="s">
        <v>62</v>
      </c>
    </row>
    <row r="43" spans="3:25" x14ac:dyDescent="0.25">
      <c r="C43" t="s">
        <v>255</v>
      </c>
      <c r="D43" s="4" t="s">
        <v>256</v>
      </c>
      <c r="L43">
        <v>42</v>
      </c>
      <c r="M43" s="3" t="s">
        <v>108</v>
      </c>
      <c r="N43" s="8" t="s">
        <v>63</v>
      </c>
      <c r="P43" s="11">
        <v>10000</v>
      </c>
      <c r="Q43">
        <v>21</v>
      </c>
      <c r="R43" s="11">
        <f>P43*(1+(Q43/100))</f>
        <v>12100</v>
      </c>
      <c r="S43" s="11" t="e">
        <f>P43*(1+(Q43/100))+IF(P40&gt;P41,P40-P41,0)</f>
        <v>#VALUE!</v>
      </c>
    </row>
    <row r="44" spans="3:25" x14ac:dyDescent="0.25">
      <c r="C44" t="s">
        <v>257</v>
      </c>
      <c r="D44" s="4" t="s">
        <v>258</v>
      </c>
      <c r="L44" s="4">
        <v>43</v>
      </c>
      <c r="M44" s="99" t="s">
        <v>253</v>
      </c>
      <c r="N44" s="8" t="s">
        <v>254</v>
      </c>
      <c r="S44" s="11"/>
    </row>
    <row r="45" spans="3:25" x14ac:dyDescent="0.25">
      <c r="D45" t="s">
        <v>116</v>
      </c>
      <c r="S45" s="11" t="e">
        <f>P43*(Q43/100)+P43+IF(P40&gt;P41,P40-P41,0)</f>
        <v>#VALUE!</v>
      </c>
    </row>
    <row r="46" spans="3:25" x14ac:dyDescent="0.25">
      <c r="D46" s="5" t="s">
        <v>149</v>
      </c>
    </row>
    <row r="47" spans="3:25" x14ac:dyDescent="0.25">
      <c r="D47" s="5" t="s">
        <v>142</v>
      </c>
      <c r="L47">
        <v>1</v>
      </c>
      <c r="M47" t="str">
        <f>IF(AND($B$23=9,$B$24=1),D46,IF(AND($B$23=9,$B$24=2),D50,IF(AND($B$23=35,$B$24=1),D52,IF(AND($B$23=43,$B$24=1),D54,IF(AND($B$23=43,$B$24=2),I55,"irelevantní")))))</f>
        <v>irelevantní</v>
      </c>
    </row>
    <row r="48" spans="3:25" x14ac:dyDescent="0.25">
      <c r="D48" s="5" t="s">
        <v>143</v>
      </c>
      <c r="M48" t="str">
        <f>IF(AND($B$23=9,$B$24=1),D47,IF(AND($B$23=9,$B$24=2),D51,IF(AND($B$23=35,$B$24=1),D53,IF(AND($B$23=43,$B$24=1),D55,"irelevantní"))))</f>
        <v>irelevantní</v>
      </c>
    </row>
    <row r="49" spans="1:17" x14ac:dyDescent="0.25">
      <c r="D49" s="5" t="s">
        <v>144</v>
      </c>
      <c r="M49" t="str">
        <f>IF(AND($B$23=9,$B$24=1),D48,IF(AND($B$23=43,$B$24=1),D56,"irelevantní"))</f>
        <v>irelevantní</v>
      </c>
    </row>
    <row r="50" spans="1:17" x14ac:dyDescent="0.25">
      <c r="D50" s="14" t="s">
        <v>145</v>
      </c>
      <c r="M50" t="str">
        <f>IF(AND($B$23=9,$B$24=1),D49,IF(AND($B$23=43,$B$24=1),D57,"irelevantní"))</f>
        <v>irelevantní</v>
      </c>
    </row>
    <row r="51" spans="1:17" x14ac:dyDescent="0.25">
      <c r="D51" s="14" t="s">
        <v>146</v>
      </c>
    </row>
    <row r="52" spans="1:17" x14ac:dyDescent="0.25">
      <c r="D52" s="15" t="s">
        <v>147</v>
      </c>
    </row>
    <row r="53" spans="1:17" x14ac:dyDescent="0.25">
      <c r="D53" s="15" t="s">
        <v>148</v>
      </c>
    </row>
    <row r="54" spans="1:17" x14ac:dyDescent="0.25">
      <c r="D54" s="5" t="s">
        <v>259</v>
      </c>
    </row>
    <row r="55" spans="1:17" x14ac:dyDescent="0.25">
      <c r="D55" s="5" t="s">
        <v>260</v>
      </c>
      <c r="I55" s="5" t="s">
        <v>261</v>
      </c>
    </row>
    <row r="56" spans="1:17" x14ac:dyDescent="0.25">
      <c r="A56">
        <f>IF(B56=TRUE,1,0)</f>
        <v>1</v>
      </c>
      <c r="B56" t="b">
        <v>1</v>
      </c>
      <c r="C56" t="s">
        <v>164</v>
      </c>
      <c r="D56" s="5" t="s">
        <v>262</v>
      </c>
    </row>
    <row r="57" spans="1:17" x14ac:dyDescent="0.25">
      <c r="A57">
        <f t="shared" ref="A57:A58" si="0">IF(B57=TRUE,1,0)</f>
        <v>1</v>
      </c>
      <c r="B57" t="b">
        <v>1</v>
      </c>
      <c r="C57" t="s">
        <v>165</v>
      </c>
      <c r="D57" s="5" t="s">
        <v>263</v>
      </c>
    </row>
    <row r="58" spans="1:17" ht="15.75" thickBot="1" x14ac:dyDescent="0.3">
      <c r="A58">
        <f t="shared" si="0"/>
        <v>0</v>
      </c>
      <c r="B58" t="b">
        <v>0</v>
      </c>
      <c r="C58" t="s">
        <v>166</v>
      </c>
      <c r="D58">
        <v>2</v>
      </c>
      <c r="H58">
        <v>6</v>
      </c>
      <c r="K58">
        <v>9</v>
      </c>
    </row>
    <row r="59" spans="1:17" x14ac:dyDescent="0.25">
      <c r="D59" s="21" t="s">
        <v>178</v>
      </c>
      <c r="E59" t="s">
        <v>179</v>
      </c>
      <c r="F59" t="s">
        <v>180</v>
      </c>
      <c r="G59" t="s">
        <v>181</v>
      </c>
      <c r="H59" t="s">
        <v>182</v>
      </c>
      <c r="I59" t="s">
        <v>183</v>
      </c>
      <c r="J59" t="s">
        <v>184</v>
      </c>
      <c r="K59" t="s">
        <v>185</v>
      </c>
      <c r="L59" t="s">
        <v>186</v>
      </c>
      <c r="M59" t="s">
        <v>187</v>
      </c>
      <c r="P59">
        <f>KR!C52</f>
        <v>0</v>
      </c>
      <c r="Q59">
        <f>IF(P59="vyber Opatření #2",0,1)</f>
        <v>1</v>
      </c>
    </row>
    <row r="60" spans="1:17" x14ac:dyDescent="0.25">
      <c r="D60" s="22" t="str">
        <f t="shared" ref="D60:M60" si="1">CHOOSE($C$1,"",$M$2,$M$7,$M$10,$M$20,$M$25,$M$36)</f>
        <v/>
      </c>
      <c r="E60" s="22" t="str">
        <f t="shared" si="1"/>
        <v/>
      </c>
      <c r="F60" s="22" t="str">
        <f t="shared" si="1"/>
        <v/>
      </c>
      <c r="G60" s="22" t="str">
        <f t="shared" si="1"/>
        <v/>
      </c>
      <c r="H60" s="22" t="str">
        <f t="shared" si="1"/>
        <v/>
      </c>
      <c r="I60" s="22" t="str">
        <f t="shared" si="1"/>
        <v/>
      </c>
      <c r="J60" s="22" t="str">
        <f t="shared" si="1"/>
        <v/>
      </c>
      <c r="K60" s="22" t="str">
        <f t="shared" si="1"/>
        <v/>
      </c>
      <c r="L60" s="22" t="str">
        <f t="shared" si="1"/>
        <v/>
      </c>
      <c r="M60" s="22" t="str">
        <f t="shared" si="1"/>
        <v/>
      </c>
      <c r="P60">
        <f>KR!C53</f>
        <v>0</v>
      </c>
      <c r="Q60">
        <f>IF(P60="vyber Opatření #3",0,1)</f>
        <v>1</v>
      </c>
    </row>
    <row r="61" spans="1:17" x14ac:dyDescent="0.25">
      <c r="D61" s="22" t="str">
        <f t="shared" ref="D61:M61" si="2">CHOOSE($C$1,"",$M$3,$M$8,$M$11,$M$21,$M$26,$M$37)</f>
        <v/>
      </c>
      <c r="E61" s="22" t="str">
        <f t="shared" si="2"/>
        <v/>
      </c>
      <c r="F61" s="22" t="str">
        <f t="shared" si="2"/>
        <v/>
      </c>
      <c r="G61" s="22" t="str">
        <f t="shared" si="2"/>
        <v/>
      </c>
      <c r="H61" s="22" t="str">
        <f t="shared" si="2"/>
        <v/>
      </c>
      <c r="I61" s="22" t="str">
        <f t="shared" si="2"/>
        <v/>
      </c>
      <c r="J61" s="22" t="str">
        <f t="shared" si="2"/>
        <v/>
      </c>
      <c r="K61" s="22" t="str">
        <f t="shared" si="2"/>
        <v/>
      </c>
      <c r="L61" s="22" t="str">
        <f t="shared" si="2"/>
        <v/>
      </c>
      <c r="M61" s="22" t="str">
        <f t="shared" si="2"/>
        <v/>
      </c>
      <c r="P61">
        <f>KR!C54</f>
        <v>0</v>
      </c>
      <c r="Q61">
        <f>IF(P61="vyber Opatření #4",0,1)</f>
        <v>1</v>
      </c>
    </row>
    <row r="62" spans="1:17" x14ac:dyDescent="0.25">
      <c r="D62" s="22" t="str">
        <f t="shared" ref="D62:M62" si="3">CHOOSE($C$1,"",$M$4,$M$9,$M$12,$M$22,$M$27,$M$38)</f>
        <v/>
      </c>
      <c r="E62" s="22" t="str">
        <f t="shared" si="3"/>
        <v/>
      </c>
      <c r="F62" s="22" t="str">
        <f t="shared" si="3"/>
        <v/>
      </c>
      <c r="G62" s="22" t="str">
        <f t="shared" si="3"/>
        <v/>
      </c>
      <c r="H62" s="22" t="str">
        <f t="shared" si="3"/>
        <v/>
      </c>
      <c r="I62" s="22" t="str">
        <f t="shared" si="3"/>
        <v/>
      </c>
      <c r="J62" s="22" t="str">
        <f t="shared" si="3"/>
        <v/>
      </c>
      <c r="K62" s="22" t="str">
        <f t="shared" si="3"/>
        <v/>
      </c>
      <c r="L62" s="22" t="str">
        <f t="shared" si="3"/>
        <v/>
      </c>
      <c r="M62" s="22" t="str">
        <f t="shared" si="3"/>
        <v/>
      </c>
      <c r="P62">
        <f>KR!C55</f>
        <v>0</v>
      </c>
      <c r="Q62">
        <f>IF(P62="vyber Opatření #5",0,1)</f>
        <v>1</v>
      </c>
    </row>
    <row r="63" spans="1:17" x14ac:dyDescent="0.25">
      <c r="D63" s="22" t="str">
        <f t="shared" ref="D63:M63" si="4">CHOOSE($C$1,"","","",$M$13,$M$23,$M$28,$M$39)</f>
        <v/>
      </c>
      <c r="E63" s="22" t="str">
        <f t="shared" si="4"/>
        <v/>
      </c>
      <c r="F63" s="22" t="str">
        <f t="shared" si="4"/>
        <v/>
      </c>
      <c r="G63" s="22" t="str">
        <f t="shared" si="4"/>
        <v/>
      </c>
      <c r="H63" s="22" t="str">
        <f t="shared" si="4"/>
        <v/>
      </c>
      <c r="I63" s="22" t="str">
        <f t="shared" si="4"/>
        <v/>
      </c>
      <c r="J63" s="22" t="str">
        <f t="shared" si="4"/>
        <v/>
      </c>
      <c r="K63" s="22" t="str">
        <f t="shared" si="4"/>
        <v/>
      </c>
      <c r="L63" s="22" t="str">
        <f t="shared" si="4"/>
        <v/>
      </c>
      <c r="M63" s="22" t="str">
        <f t="shared" si="4"/>
        <v/>
      </c>
      <c r="Q63" s="10">
        <f>SUM(Q59:Q62)</f>
        <v>4</v>
      </c>
    </row>
    <row r="64" spans="1:17" x14ac:dyDescent="0.25">
      <c r="D64" s="22" t="str">
        <f t="shared" ref="D64:M64" si="5">CHOOSE($C$1,"","","",$M$14,$M$24,$M$29,$M$40)</f>
        <v/>
      </c>
      <c r="E64" s="22" t="str">
        <f t="shared" si="5"/>
        <v/>
      </c>
      <c r="F64" s="22" t="str">
        <f t="shared" si="5"/>
        <v/>
      </c>
      <c r="G64" s="22" t="str">
        <f t="shared" si="5"/>
        <v/>
      </c>
      <c r="H64" s="22" t="str">
        <f t="shared" si="5"/>
        <v/>
      </c>
      <c r="I64" s="22" t="str">
        <f t="shared" si="5"/>
        <v/>
      </c>
      <c r="J64" s="22" t="str">
        <f t="shared" si="5"/>
        <v/>
      </c>
      <c r="K64" s="22" t="str">
        <f t="shared" si="5"/>
        <v/>
      </c>
      <c r="L64" s="22" t="str">
        <f t="shared" si="5"/>
        <v/>
      </c>
      <c r="M64" s="22" t="str">
        <f t="shared" si="5"/>
        <v/>
      </c>
      <c r="P64" t="s">
        <v>121</v>
      </c>
    </row>
    <row r="65" spans="4:17" x14ac:dyDescent="0.25">
      <c r="D65" s="22" t="str">
        <f t="shared" ref="D65:M65" si="6">CHOOSE($C$1,"","","",$M$15,"",$M$30,$M$41)</f>
        <v/>
      </c>
      <c r="E65" s="22" t="str">
        <f t="shared" si="6"/>
        <v/>
      </c>
      <c r="F65" s="22" t="str">
        <f t="shared" si="6"/>
        <v/>
      </c>
      <c r="G65" s="22" t="str">
        <f t="shared" si="6"/>
        <v/>
      </c>
      <c r="H65" s="22" t="str">
        <f t="shared" si="6"/>
        <v/>
      </c>
      <c r="I65" s="22" t="str">
        <f t="shared" si="6"/>
        <v/>
      </c>
      <c r="J65" s="22" t="str">
        <f t="shared" si="6"/>
        <v/>
      </c>
      <c r="K65" s="22" t="str">
        <f t="shared" si="6"/>
        <v/>
      </c>
      <c r="L65" s="22" t="str">
        <f t="shared" si="6"/>
        <v/>
      </c>
      <c r="M65" s="22" t="str">
        <f t="shared" si="6"/>
        <v/>
      </c>
      <c r="P65">
        <f>KR!C65</f>
        <v>0</v>
      </c>
      <c r="Q65">
        <f>IF(P65="vyber Aktivitu #2",0,1)</f>
        <v>1</v>
      </c>
    </row>
    <row r="66" spans="4:17" x14ac:dyDescent="0.25">
      <c r="D66" s="22" t="str">
        <f t="shared" ref="D66:M66" si="7">CHOOSE($C$1,"","","",$M$16,"",$M$31,$M$42)</f>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P66">
        <f>KR!C66</f>
        <v>0</v>
      </c>
      <c r="Q66">
        <f>IF(P66="vyber Aktivitu #3",0,1)</f>
        <v>1</v>
      </c>
    </row>
    <row r="67" spans="4:17" x14ac:dyDescent="0.25">
      <c r="D67" s="22" t="str">
        <f t="shared" ref="D67:M67" si="8">CHOOSE($C$1,"","","",$M$17,"",$M$32,$M$43)</f>
        <v/>
      </c>
      <c r="E67" s="22" t="str">
        <f t="shared" si="8"/>
        <v/>
      </c>
      <c r="F67" s="22" t="str">
        <f t="shared" si="8"/>
        <v/>
      </c>
      <c r="G67" s="22" t="str">
        <f t="shared" si="8"/>
        <v/>
      </c>
      <c r="H67" s="22" t="str">
        <f t="shared" si="8"/>
        <v/>
      </c>
      <c r="I67" s="22" t="str">
        <f t="shared" si="8"/>
        <v/>
      </c>
      <c r="J67" s="22" t="str">
        <f t="shared" si="8"/>
        <v/>
      </c>
      <c r="K67" s="22" t="str">
        <f t="shared" si="8"/>
        <v/>
      </c>
      <c r="L67" s="22" t="str">
        <f t="shared" si="8"/>
        <v/>
      </c>
      <c r="M67" s="22" t="str">
        <f t="shared" si="8"/>
        <v/>
      </c>
      <c r="P67">
        <f>KR!C67</f>
        <v>0</v>
      </c>
      <c r="Q67">
        <f>IF(P67="vyber Aktivitu #4",0,1)</f>
        <v>1</v>
      </c>
    </row>
    <row r="68" spans="4:17" x14ac:dyDescent="0.25">
      <c r="D68" s="22" t="str">
        <f t="shared" ref="D68:M68" si="9">CHOOSE($C$1,"","","",$M$18,"",$M$33,"")</f>
        <v/>
      </c>
      <c r="E68" s="22" t="str">
        <f t="shared" si="9"/>
        <v/>
      </c>
      <c r="F68" s="22" t="str">
        <f t="shared" si="9"/>
        <v/>
      </c>
      <c r="G68" s="22" t="str">
        <f t="shared" si="9"/>
        <v/>
      </c>
      <c r="H68" s="22" t="str">
        <f t="shared" si="9"/>
        <v/>
      </c>
      <c r="I68" s="22" t="str">
        <f t="shared" si="9"/>
        <v/>
      </c>
      <c r="J68" s="22" t="str">
        <f t="shared" si="9"/>
        <v/>
      </c>
      <c r="K68" s="22" t="str">
        <f t="shared" si="9"/>
        <v/>
      </c>
      <c r="L68" s="22" t="str">
        <f t="shared" si="9"/>
        <v/>
      </c>
      <c r="M68" s="22" t="str">
        <f t="shared" si="9"/>
        <v/>
      </c>
      <c r="P68">
        <f>KR!C68</f>
        <v>0</v>
      </c>
      <c r="Q68">
        <f>IF(P68="vyber Aktivitu #5",0,1)</f>
        <v>1</v>
      </c>
    </row>
    <row r="69" spans="4:17" x14ac:dyDescent="0.25">
      <c r="D69" s="22" t="str">
        <f t="shared" ref="D69:M69" si="10">CHOOSE($C$1,"","","",$M$19,"",$M$34,"")</f>
        <v/>
      </c>
      <c r="E69" s="22" t="str">
        <f t="shared" si="10"/>
        <v/>
      </c>
      <c r="F69" s="22" t="str">
        <f t="shared" si="10"/>
        <v/>
      </c>
      <c r="G69" s="22" t="str">
        <f t="shared" si="10"/>
        <v/>
      </c>
      <c r="H69" s="22" t="str">
        <f t="shared" si="10"/>
        <v/>
      </c>
      <c r="I69" s="22" t="str">
        <f t="shared" si="10"/>
        <v/>
      </c>
      <c r="J69" s="22" t="str">
        <f t="shared" si="10"/>
        <v/>
      </c>
      <c r="K69" s="22" t="str">
        <f t="shared" si="10"/>
        <v/>
      </c>
      <c r="L69" s="22" t="str">
        <f t="shared" si="10"/>
        <v/>
      </c>
      <c r="M69" s="22" t="str">
        <f t="shared" si="10"/>
        <v/>
      </c>
      <c r="Q69" s="10">
        <f>SUM(Q65:Q68)</f>
        <v>4</v>
      </c>
    </row>
    <row r="70" spans="4:17" ht="15.75" thickBot="1" x14ac:dyDescent="0.3">
      <c r="D70" s="23" t="str">
        <f>CHOOSE($C$1,"","","",M44,"",$M$35,"")</f>
        <v/>
      </c>
      <c r="E70" s="23" t="str">
        <f>CHOOSE($C$1,"","","",M44,"",$M$35,"")</f>
        <v/>
      </c>
      <c r="F70" s="23" t="str">
        <f>CHOOSE($C$1,"","","",M44,"",$M$35,"")</f>
        <v/>
      </c>
      <c r="G70" s="23" t="str">
        <f>CHOOSE($C$1,"","","",M44,"",$M$35,"")</f>
        <v/>
      </c>
      <c r="H70" s="23" t="str">
        <f>CHOOSE($C$1,"","","",M44,"",$M$35,"")</f>
        <v/>
      </c>
      <c r="I70" s="23" t="str">
        <f>CHOOSE($C$1,"","","",M44,"",$M$35,"")</f>
        <v/>
      </c>
      <c r="J70" s="23" t="str">
        <f>CHOOSE($C$1,"","","",M44,"",$M$35,"")</f>
        <v/>
      </c>
      <c r="K70" s="23" t="str">
        <f>CHOOSE($C$1,"","","",M44,"",$M$35,"")</f>
        <v/>
      </c>
      <c r="L70" s="23" t="str">
        <f>CHOOSE($C$1,"","","",M44,"",$M$35,"")</f>
        <v/>
      </c>
      <c r="M70" s="23" t="str">
        <f>CHOOSE($C$1,"","","",M44,"",$M$35,"")</f>
        <v/>
      </c>
      <c r="P70" t="s">
        <v>121</v>
      </c>
    </row>
    <row r="71" spans="4:17" ht="15.75" thickBot="1" x14ac:dyDescent="0.3">
      <c r="P71" t="str">
        <f>KR!C72</f>
        <v>vyber Podaktivitu #2</v>
      </c>
      <c r="Q71">
        <f>IF(P71="vyber Podaktivitu #2",0,1)</f>
        <v>0</v>
      </c>
    </row>
    <row r="72" spans="4:17" x14ac:dyDescent="0.25">
      <c r="D72" s="21" t="s">
        <v>188</v>
      </c>
      <c r="E72" t="s">
        <v>189</v>
      </c>
      <c r="F72" t="s">
        <v>190</v>
      </c>
      <c r="G72" t="s">
        <v>191</v>
      </c>
      <c r="P72" t="str">
        <f>KR!C73</f>
        <v>vyber Podaktivitu #3</v>
      </c>
      <c r="Q72">
        <f>IF(P72="vyber Podaktivitu #3",0,1)</f>
        <v>0</v>
      </c>
    </row>
    <row r="73" spans="4:17" x14ac:dyDescent="0.25">
      <c r="D73" s="22" t="str">
        <f>IF($B$23=9,$D$31,IF($B$23=35,$D$36,IF($B$23=36,$D$41,IF($B$23=43,D43,""))))</f>
        <v/>
      </c>
      <c r="E73" s="22" t="str">
        <f>IF($B$23=9,$D$31,IF($B$23=35,$D$36,IF($B$23=36,$D$41,"")))</f>
        <v/>
      </c>
      <c r="F73" s="22" t="str">
        <f>IF($B$23=9,$D$31,IF($B$23=35,$D$36,IF($B$23=36,$D$41,"")))</f>
        <v/>
      </c>
      <c r="G73" s="22" t="str">
        <f>IF($B$23=9,$D$31,IF($B$23=35,$D$36,IF($B$23=36,$D$41,"")))</f>
        <v/>
      </c>
      <c r="P73" t="str">
        <f>KR!C74</f>
        <v>vyber Podaktivitu #4</v>
      </c>
      <c r="Q73">
        <f>IF(P73="vyber Podaktivitu #4",0,1)</f>
        <v>0</v>
      </c>
    </row>
    <row r="74" spans="4:17" x14ac:dyDescent="0.25">
      <c r="D74" s="22" t="str">
        <f>IF($B$23=9,$D$32,IF($B$23=35,$D$37,IF($B$23=36,$D$42,IF(B23=43,D44,""))))</f>
        <v/>
      </c>
      <c r="E74" s="22" t="str">
        <f>IF($B$23=9,$D$32,IF($B$23=35,$D$37,IF($B$23=36,$D$42,"")))</f>
        <v/>
      </c>
      <c r="F74" s="22" t="str">
        <f>IF($B$23=9,$D$32,IF($B$23=35,$D$37,IF($B$23=36,$D$42,"")))</f>
        <v/>
      </c>
      <c r="G74" s="22" t="str">
        <f>IF($B$23=9,$D$32,IF($B$23=35,$D$37,IF($B$23=36,$D$42,"")))</f>
        <v/>
      </c>
      <c r="Q74" s="10">
        <f>SUM(Q71:Q73)</f>
        <v>0</v>
      </c>
    </row>
    <row r="75" spans="4:17" x14ac:dyDescent="0.25">
      <c r="D75" s="22" t="str">
        <f>IF($B$23=9,$D$33,IF($B$23=35,$D$38,""))</f>
        <v/>
      </c>
      <c r="E75" s="22" t="str">
        <f>IF($B$23=9,$D$33,IF($B$23=35,$D$38,""))</f>
        <v/>
      </c>
      <c r="F75" s="22" t="str">
        <f>IF($B$23=9,$D$33,IF($B$23=35,$D$38,""))</f>
        <v/>
      </c>
      <c r="G75" s="22" t="str">
        <f>IF($B$23=9,$D$33,IF($B$23=35,$D$38,""))</f>
        <v/>
      </c>
    </row>
    <row r="76" spans="4:17" x14ac:dyDescent="0.25">
      <c r="D76" s="22" t="str">
        <f>IF($B$23=9,$D$34,IF($B$23=35,$D$39,""))</f>
        <v/>
      </c>
      <c r="E76" s="22" t="str">
        <f>IF($B$23=9,$D$34,IF($B$23=35,$D$39,""))</f>
        <v/>
      </c>
      <c r="F76" s="22" t="str">
        <f>IF($B$23=9,$D$34,IF($B$23=35,$D$39,""))</f>
        <v/>
      </c>
      <c r="G76" s="22" t="str">
        <f>IF($B$23=9,$D$34,IF($B$23=35,$D$39,""))</f>
        <v/>
      </c>
    </row>
    <row r="77" spans="4:17" ht="15.75" thickBot="1" x14ac:dyDescent="0.3">
      <c r="D77" s="23" t="str">
        <f>IF($B$23=9,$D$35,IF($B$23=35,$D$40,""))</f>
        <v/>
      </c>
      <c r="E77" s="23" t="str">
        <f>IF($B$23=9,$D$35,IF($B$23=35,$D$40,""))</f>
        <v/>
      </c>
      <c r="F77" s="23" t="str">
        <f>IF($B$23=9,$D$35,IF($B$23=35,$D$40,""))</f>
        <v/>
      </c>
      <c r="G77" s="23" t="str">
        <f>IF($B$23=9,$D$35,IF($B$23=35,$D$40,""))</f>
        <v/>
      </c>
    </row>
    <row r="78" spans="4:17" ht="15.75" thickBot="1" x14ac:dyDescent="0.3"/>
    <row r="79" spans="4:17" x14ac:dyDescent="0.25">
      <c r="D79" s="21" t="s">
        <v>194</v>
      </c>
      <c r="E79" t="s">
        <v>195</v>
      </c>
      <c r="F79" t="s">
        <v>196</v>
      </c>
    </row>
    <row r="80" spans="4:17" x14ac:dyDescent="0.25">
      <c r="D80" s="22" t="str">
        <f>IF(AND($B$23=9,$B$24=1),$D$46,IF(AND($B$23=9,$B$24=2),$D$50,IF(AND($B$23=35,$B$24=1),$D$52,IF(AND($B$23=43,$B$24=1),$D$54,IF(AND($B$23=43,$B$24=2),$I$55,"irelevantní")))))</f>
        <v>irelevantní</v>
      </c>
      <c r="E80" s="22" t="str">
        <f t="shared" ref="E80:F80" si="11">IF(AND($B$23=9,$B$24=1),$D$46,IF(AND($B$23=9,$B$24=2),$D$50,IF(AND($B$23=35,$B$24=1),$D$52,IF(AND($B$23=43,$B$24=1),$D$54,IF(AND($B$23=43,$B$24=2),$I$55,"irelevantní")))))</f>
        <v>irelevantní</v>
      </c>
      <c r="F80" s="22" t="str">
        <f t="shared" si="11"/>
        <v>irelevantní</v>
      </c>
    </row>
    <row r="81" spans="4:6" x14ac:dyDescent="0.25">
      <c r="D81" s="22" t="str">
        <f>IF(AND($B$23=9,$B$24=1),$D$47,IF(AND($B$23=9,$B$24=2),$D$51,IF(AND($B$23=35,$B$24=1),$D$53,IF(AND($B$23=43,$B$24=1),$D$55,"irelevantní"))))</f>
        <v>irelevantní</v>
      </c>
      <c r="E81" s="22" t="str">
        <f t="shared" ref="E81:F81" si="12">IF(AND($B$23=9,$B$24=1),$D$47,IF(AND($B$23=9,$B$24=2),$D$51,IF(AND($B$23=35,$B$24=1),$D$53,IF(AND($B$23=43,$B$24=1),$D$55,"irelevantní"))))</f>
        <v>irelevantní</v>
      </c>
      <c r="F81" s="22" t="str">
        <f t="shared" si="12"/>
        <v>irelevantní</v>
      </c>
    </row>
    <row r="82" spans="4:6" x14ac:dyDescent="0.25">
      <c r="D82" s="22" t="str">
        <f>IF(AND($B$23=9,$B$24=1),$D$48,IF(AND($B$23=43,$B$24=1),$D$56,""))</f>
        <v/>
      </c>
      <c r="E82" s="22" t="str">
        <f t="shared" ref="E82:F82" si="13">IF(AND($B$23=9,$B$24=1),$D$48,IF(AND($B$23=43,$B$24=1),$D$56,""))</f>
        <v/>
      </c>
      <c r="F82" s="22" t="str">
        <f t="shared" si="13"/>
        <v/>
      </c>
    </row>
    <row r="83" spans="4:6" ht="15.75" thickBot="1" x14ac:dyDescent="0.3">
      <c r="D83" s="23" t="str">
        <f>IF(AND($B$23=9,$B$24=1),$D$49,IF(AND($B$23=43,$B$24=1),$D$57,""))</f>
        <v/>
      </c>
      <c r="E83" s="23" t="str">
        <f t="shared" ref="E83:F83" si="14">IF(AND($B$23=9,$B$24=1),$D$49,IF(AND($B$23=43,$B$24=1),$D$57,""))</f>
        <v/>
      </c>
      <c r="F83" s="23" t="str">
        <f t="shared" si="14"/>
        <v/>
      </c>
    </row>
  </sheetData>
  <sheetProtection selectLockedCells="1" selectUnlockedCells="1"/>
  <sortState ref="Q2:Q13">
    <sortCondition ref="Q2"/>
  </sortState>
  <phoneticPr fontId="20" type="noConversion"/>
  <conditionalFormatting sqref="B51:E51">
    <cfRule type="expression" priority="1">
      <formula>$A$56=1</formula>
    </cfRule>
  </conditionalFormatting>
  <conditionalFormatting sqref="C50">
    <cfRule type="expression" priority="2">
      <formula>$A$56=1</formula>
    </cfRule>
  </conditionalFormatting>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D36"/>
  <sheetViews>
    <sheetView topLeftCell="A18" workbookViewId="0"/>
  </sheetViews>
  <sheetFormatPr defaultColWidth="9.140625" defaultRowHeight="15" x14ac:dyDescent="0.25"/>
  <cols>
    <col min="1" max="1" width="2.140625" style="19" customWidth="1"/>
    <col min="2" max="2" width="1.85546875" style="19" customWidth="1"/>
    <col min="3" max="3" width="36.42578125" style="19" bestFit="1" customWidth="1"/>
    <col min="4" max="4" width="123" style="27" bestFit="1" customWidth="1"/>
    <col min="5" max="5" width="34.42578125" style="19" customWidth="1"/>
    <col min="6" max="16384" width="9.140625" style="19"/>
  </cols>
  <sheetData>
    <row r="1" spans="3:4" ht="9.75" customHeight="1" x14ac:dyDescent="0.25"/>
    <row r="2" spans="3:4" ht="14.25" customHeight="1" thickBot="1" x14ac:dyDescent="0.3"/>
    <row r="3" spans="3:4" ht="15.75" x14ac:dyDescent="0.25">
      <c r="C3" s="40" t="s">
        <v>1</v>
      </c>
      <c r="D3" s="29">
        <f>KR!C5</f>
        <v>0</v>
      </c>
    </row>
    <row r="4" spans="3:4" ht="16.5" thickBot="1" x14ac:dyDescent="0.3">
      <c r="C4" s="41" t="s">
        <v>2</v>
      </c>
      <c r="D4" s="33">
        <f>KR!C6</f>
        <v>0</v>
      </c>
    </row>
    <row r="5" spans="3:4" ht="15.75" x14ac:dyDescent="0.25">
      <c r="C5" s="42" t="s">
        <v>77</v>
      </c>
      <c r="D5" s="43" t="str">
        <f>CHOOSE(zdroj!C1,zdroj!D1,zdroj!D2,zdroj!D3,zdroj!D4,zdroj!D5,zdroj!D6,zdroj!D7)</f>
        <v>Vyber Specifický cíl</v>
      </c>
    </row>
    <row r="6" spans="3:4" ht="15.75" x14ac:dyDescent="0.25">
      <c r="C6" s="44" t="s">
        <v>65</v>
      </c>
      <c r="D6" s="31" t="str">
        <f>CHOOSE(zdroj!P2,zdroj!Q2,zdroj!Q3,zdroj!Q4,zdroj!Q5,zdroj!Q6,zdroj!Q7,zdroj!Q8,zdroj!Q9,zdroj!#REF!,zdroj!Q11,zdroj!Q12,zdroj!Q13,zdroj!Q14,zdroj!Q15,zdroj!Q16,zdroj!Q17,zdroj!Q18,zdroj!Q19,zdroj!#REF!,zdroj!Q20)</f>
        <v>mimo Veřejnou podporu</v>
      </c>
    </row>
    <row r="7" spans="3:4" ht="15.75" x14ac:dyDescent="0.25">
      <c r="C7" s="44" t="s">
        <v>122</v>
      </c>
      <c r="D7" s="31" t="str">
        <f>CHOOSE(zdroj!P26,zdroj!Q26,zdroj!Q27,zdroj!Q28,zdroj!Q29)</f>
        <v>Vyber</v>
      </c>
    </row>
    <row r="8" spans="3:4" ht="16.5" thickBot="1" x14ac:dyDescent="0.3">
      <c r="C8" s="45" t="s">
        <v>73</v>
      </c>
      <c r="D8" s="46" t="str">
        <f>CHOOSE(zdroj!P35,zdroj!Q35,zdroj!Q36,zdroj!Q37,zdroj!Q38)</f>
        <v>irelevantní</v>
      </c>
    </row>
    <row r="9" spans="3:4" x14ac:dyDescent="0.25">
      <c r="C9" s="34" t="s">
        <v>156</v>
      </c>
      <c r="D9" s="35" t="str">
        <f>KR!$D$29</f>
        <v>zadej výdaje/DPH</v>
      </c>
    </row>
    <row r="10" spans="3:4" x14ac:dyDescent="0.25">
      <c r="C10" s="36" t="s">
        <v>80</v>
      </c>
      <c r="D10" s="37" t="str">
        <f>KR!D30</f>
        <v>zadej výdaje/DPH</v>
      </c>
    </row>
    <row r="11" spans="3:4" ht="15.75" thickBot="1" x14ac:dyDescent="0.3">
      <c r="C11" s="38" t="s">
        <v>81</v>
      </c>
      <c r="D11" s="39" t="str">
        <f>KR!D31</f>
        <v>zadej výdaje/DPH</v>
      </c>
    </row>
    <row r="12" spans="3:4" ht="16.5" thickBot="1" x14ac:dyDescent="0.3">
      <c r="C12" s="83" t="s">
        <v>197</v>
      </c>
      <c r="D12" s="84">
        <f>KR!C51</f>
        <v>0</v>
      </c>
    </row>
    <row r="13" spans="3:4" x14ac:dyDescent="0.25">
      <c r="C13" s="28" t="s">
        <v>168</v>
      </c>
      <c r="D13" s="29">
        <f>KR!C52</f>
        <v>0</v>
      </c>
    </row>
    <row r="14" spans="3:4" x14ac:dyDescent="0.25">
      <c r="C14" s="30" t="s">
        <v>169</v>
      </c>
      <c r="D14" s="31">
        <f>KR!C53</f>
        <v>0</v>
      </c>
    </row>
    <row r="15" spans="3:4" x14ac:dyDescent="0.25">
      <c r="C15" s="30" t="s">
        <v>170</v>
      </c>
      <c r="D15" s="31">
        <f>KR!C54</f>
        <v>0</v>
      </c>
    </row>
    <row r="16" spans="3:4" x14ac:dyDescent="0.25">
      <c r="C16" s="30" t="s">
        <v>171</v>
      </c>
      <c r="D16" s="31">
        <f>KR!C55</f>
        <v>0</v>
      </c>
    </row>
    <row r="17" spans="3:4" x14ac:dyDescent="0.25">
      <c r="C17" s="30" t="s">
        <v>172</v>
      </c>
      <c r="D17" s="31">
        <f>KR!C56</f>
        <v>0</v>
      </c>
    </row>
    <row r="18" spans="3:4" x14ac:dyDescent="0.25">
      <c r="C18" s="30" t="s">
        <v>173</v>
      </c>
      <c r="D18" s="31">
        <f>KR!C57</f>
        <v>0</v>
      </c>
    </row>
    <row r="19" spans="3:4" x14ac:dyDescent="0.25">
      <c r="C19" s="30" t="s">
        <v>174</v>
      </c>
      <c r="D19" s="31">
        <f>KR!C58</f>
        <v>0</v>
      </c>
    </row>
    <row r="20" spans="3:4" x14ac:dyDescent="0.25">
      <c r="C20" s="30" t="s">
        <v>175</v>
      </c>
      <c r="D20" s="31">
        <f>KR!C59</f>
        <v>0</v>
      </c>
    </row>
    <row r="21" spans="3:4" x14ac:dyDescent="0.25">
      <c r="C21" s="30" t="s">
        <v>176</v>
      </c>
      <c r="D21" s="31">
        <f>KR!C60</f>
        <v>0</v>
      </c>
    </row>
    <row r="22" spans="3:4" ht="15.75" thickBot="1" x14ac:dyDescent="0.3">
      <c r="C22" s="32" t="s">
        <v>177</v>
      </c>
      <c r="D22" s="31">
        <f>KR!C61</f>
        <v>0</v>
      </c>
    </row>
    <row r="23" spans="3:4" ht="16.5" thickBot="1" x14ac:dyDescent="0.3">
      <c r="C23" s="83" t="s">
        <v>198</v>
      </c>
      <c r="D23" s="84">
        <f>KR!C64</f>
        <v>0</v>
      </c>
    </row>
    <row r="24" spans="3:4" x14ac:dyDescent="0.25">
      <c r="C24" s="28" t="s">
        <v>200</v>
      </c>
      <c r="D24" s="29">
        <f>KR!C65</f>
        <v>0</v>
      </c>
    </row>
    <row r="25" spans="3:4" x14ac:dyDescent="0.25">
      <c r="C25" s="30" t="s">
        <v>201</v>
      </c>
      <c r="D25" s="31">
        <f>KR!C66</f>
        <v>0</v>
      </c>
    </row>
    <row r="26" spans="3:4" x14ac:dyDescent="0.25">
      <c r="C26" s="30" t="s">
        <v>202</v>
      </c>
      <c r="D26" s="31">
        <f>KR!C67</f>
        <v>0</v>
      </c>
    </row>
    <row r="27" spans="3:4" ht="15.75" thickBot="1" x14ac:dyDescent="0.3">
      <c r="C27" s="32" t="s">
        <v>203</v>
      </c>
      <c r="D27" s="33">
        <f>KR!C68</f>
        <v>0</v>
      </c>
    </row>
    <row r="28" spans="3:4" ht="15.75" x14ac:dyDescent="0.25">
      <c r="C28" s="83" t="s">
        <v>199</v>
      </c>
      <c r="D28" s="84" t="str">
        <f>KR!C71</f>
        <v>irelevantní</v>
      </c>
    </row>
    <row r="29" spans="3:4" x14ac:dyDescent="0.25">
      <c r="C29" s="47" t="s">
        <v>204</v>
      </c>
      <c r="D29" s="43" t="str">
        <f>KR!C72</f>
        <v>vyber Podaktivitu #2</v>
      </c>
    </row>
    <row r="30" spans="3:4" x14ac:dyDescent="0.25">
      <c r="C30" s="30" t="s">
        <v>205</v>
      </c>
      <c r="D30" s="31" t="str">
        <f>KR!C73</f>
        <v>vyber Podaktivitu #3</v>
      </c>
    </row>
    <row r="31" spans="3:4" ht="15.75" thickBot="1" x14ac:dyDescent="0.3">
      <c r="C31" s="81" t="s">
        <v>206</v>
      </c>
      <c r="D31" s="46" t="str">
        <f>KR!C74</f>
        <v>vyber Podaktivitu #4</v>
      </c>
    </row>
    <row r="32" spans="3:4" ht="45" x14ac:dyDescent="0.25">
      <c r="C32" s="28" t="s">
        <v>236</v>
      </c>
      <c r="D32" s="35" t="str">
        <f>KR!F41</f>
        <v>zadej výdaje/DPH</v>
      </c>
    </row>
    <row r="33" spans="3:4" ht="75" x14ac:dyDescent="0.25">
      <c r="C33" s="30" t="s">
        <v>237</v>
      </c>
      <c r="D33" s="37" t="str">
        <f>KR!F42</f>
        <v>zadej výdaje/DPH</v>
      </c>
    </row>
    <row r="34" spans="3:4" ht="30.75" thickBot="1" x14ac:dyDescent="0.3">
      <c r="C34" s="81" t="s">
        <v>235</v>
      </c>
      <c r="D34" s="82" t="str">
        <f>KR!F43</f>
        <v>zadej výdaje/DPH</v>
      </c>
    </row>
    <row r="35" spans="3:4" ht="30" x14ac:dyDescent="0.25">
      <c r="C35" s="28" t="s">
        <v>238</v>
      </c>
      <c r="D35" s="35">
        <f>KR!I25</f>
        <v>0</v>
      </c>
    </row>
    <row r="36" spans="3:4" ht="30.75" thickBot="1" x14ac:dyDescent="0.3">
      <c r="C36" s="32" t="s">
        <v>239</v>
      </c>
      <c r="D36" s="39">
        <f>KR!I28</f>
        <v>0</v>
      </c>
    </row>
  </sheetData>
  <pageMargins left="0.7" right="0.7" top="0.78740157499999996" bottom="0.78740157499999996" header="0.3" footer="0.3"/>
  <pageSetup paperSize="9" orientation="portrait" r:id="rId1"/>
  <ignoredErrors>
    <ignoredError sqref="D3:D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ktu_x00e1_ln_x00ed_ xmlns="42cb3508-7c8b-48d4-827c-1760d803a4f0" xsi:nil="true"/>
    <lcf76f155ced4ddcb4097134ff3c332f xmlns="42cb3508-7c8b-48d4-827c-1760d803a4f0">
      <Terms xmlns="http://schemas.microsoft.com/office/infopath/2007/PartnerControls"/>
    </lcf76f155ced4ddcb4097134ff3c332f>
    <TaxCatchAll xmlns="572540a6-3777-4312-a0d1-abd6261c02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B1F5743DFFAAD46B42B69C2C6A4AEF6" ma:contentTypeVersion="15" ma:contentTypeDescription="Vytvoří nový dokument" ma:contentTypeScope="" ma:versionID="3cc414e8340b50735407198244224592">
  <xsd:schema xmlns:xsd="http://www.w3.org/2001/XMLSchema" xmlns:xs="http://www.w3.org/2001/XMLSchema" xmlns:p="http://schemas.microsoft.com/office/2006/metadata/properties" xmlns:ns2="42cb3508-7c8b-48d4-827c-1760d803a4f0" xmlns:ns3="572540a6-3777-4312-a0d1-abd6261c02e7" targetNamespace="http://schemas.microsoft.com/office/2006/metadata/properties" ma:root="true" ma:fieldsID="2327b373f627039aba1a251b81131be0" ns2:_="" ns3:_="">
    <xsd:import namespace="42cb3508-7c8b-48d4-827c-1760d803a4f0"/>
    <xsd:import namespace="572540a6-3777-4312-a0d1-abd6261c02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LengthInSeconds" minOccurs="0"/>
                <xsd:element ref="ns2:Aktu_x00e1_ln_x00ed_"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b3508-7c8b-48d4-827c-1760d803a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Aktu_x00e1_ln_x00ed_" ma:index="15" nillable="true" ma:displayName="Verze dokumentu" ma:description="Popisuje aktuálnost verze" ma:format="Dropdown" ma:internalName="Aktu_x00e1_ln_x00ed_">
      <xsd:simpleType>
        <xsd:union memberTypes="dms:Text">
          <xsd:simpleType>
            <xsd:restriction base="dms:Choice">
              <xsd:enumeration value="Aktuální verze"/>
              <xsd:enumeration value="Aktuální revizní verze"/>
              <xsd:enumeration value="Revizní verze"/>
              <xsd:enumeration value="Starší verze"/>
              <xsd:enumeration value="Publikovaná verze"/>
            </xsd:restriction>
          </xsd:simpleType>
        </xsd:unio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Značky obrázků" ma:readOnly="false" ma:fieldId="{5cf76f15-5ced-4ddc-b409-7134ff3c332f}" ma:taxonomyMulti="true" ma:sspId="d54c5222-3fec-4dfe-b31b-aa8359fa656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2540a6-3777-4312-a0d1-abd6261c02e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19" nillable="true" ma:displayName="Taxonomy Catch All Column" ma:hidden="true" ma:list="{2ee27111-64cd-472d-a25c-6dacbad8fa14}" ma:internalName="TaxCatchAll" ma:showField="CatchAllData" ma:web="572540a6-3777-4312-a0d1-abd6261c02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A3854-931C-400A-9F6D-FD0EE79C5A5A}">
  <ds:schemaRefs>
    <ds:schemaRef ds:uri="http://schemas.microsoft.com/sharepoint/v3/contenttype/forms"/>
  </ds:schemaRefs>
</ds:datastoreItem>
</file>

<file path=customXml/itemProps2.xml><?xml version="1.0" encoding="utf-8"?>
<ds:datastoreItem xmlns:ds="http://schemas.openxmlformats.org/officeDocument/2006/customXml" ds:itemID="{0AEEC17D-A083-44CF-89AD-756AFCB193A9}">
  <ds:schemaRefs>
    <ds:schemaRef ds:uri="http://schemas.microsoft.com/office/infopath/2007/PartnerControls"/>
    <ds:schemaRef ds:uri="http://schemas.microsoft.com/office/2006/documentManagement/types"/>
    <ds:schemaRef ds:uri="572540a6-3777-4312-a0d1-abd6261c02e7"/>
    <ds:schemaRef ds:uri="http://schemas.microsoft.com/office/2006/metadata/properties"/>
    <ds:schemaRef ds:uri="http://purl.org/dc/elements/1.1/"/>
    <ds:schemaRef ds:uri="http://schemas.openxmlformats.org/package/2006/metadata/core-properties"/>
    <ds:schemaRef ds:uri="http://purl.org/dc/terms/"/>
    <ds:schemaRef ds:uri="42cb3508-7c8b-48d4-827c-1760d803a4f0"/>
    <ds:schemaRef ds:uri="http://www.w3.org/XML/1998/namespace"/>
    <ds:schemaRef ds:uri="http://purl.org/dc/dcmitype/"/>
  </ds:schemaRefs>
</ds:datastoreItem>
</file>

<file path=customXml/itemProps3.xml><?xml version="1.0" encoding="utf-8"?>
<ds:datastoreItem xmlns:ds="http://schemas.openxmlformats.org/officeDocument/2006/customXml" ds:itemID="{828623ED-A5D7-4477-95A6-C295BF3B8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cb3508-7c8b-48d4-827c-1760d803a4f0"/>
    <ds:schemaRef ds:uri="572540a6-3777-4312-a0d1-abd6261c0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11</vt:i4>
      </vt:variant>
    </vt:vector>
  </HeadingPairs>
  <TitlesOfParts>
    <vt:vector size="14" baseType="lpstr">
      <vt:lpstr>KR</vt:lpstr>
      <vt:lpstr>zdroj</vt:lpstr>
      <vt:lpstr>výstup</vt:lpstr>
      <vt:lpstr>zdroj!_ftn1</vt:lpstr>
      <vt:lpstr>zdroj!_ftn2</vt:lpstr>
      <vt:lpstr>zdroj!_ftnref1</vt:lpstr>
      <vt:lpstr>zdroj!_Hlk72786702</vt:lpstr>
      <vt:lpstr>zdroj!_Toc70076319</vt:lpstr>
      <vt:lpstr>zdroj!_Toc70076332</vt:lpstr>
      <vt:lpstr>zdroj!_Toc88238339</vt:lpstr>
      <vt:lpstr>zdroj!_Toc99112534</vt:lpstr>
      <vt:lpstr>zdroj!_Toc99112553</vt:lpstr>
      <vt:lpstr>KR!Oblast_tisku</vt:lpstr>
      <vt:lpstr>Opatreni</vt:lpstr>
    </vt:vector>
  </TitlesOfParts>
  <Company>sfzp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Pecha Martin</dc:creator>
  <cp:lastModifiedBy>Polak Bohdan</cp:lastModifiedBy>
  <cp:lastPrinted>2022-07-29T13:36:37Z</cp:lastPrinted>
  <dcterms:created xsi:type="dcterms:W3CDTF">2022-04-07T10:32:55Z</dcterms:created>
  <dcterms:modified xsi:type="dcterms:W3CDTF">2024-03-27T22:47:36Z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0x0101004B1F5743DFFAAD46B42B69C2C6A4AEF6</vt:lpwstr>
  </property>
</Properties>
</file>